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hidePivotFieldList="1"/>
  <bookViews>
    <workbookView xWindow="0" yWindow="0" windowWidth="23040" windowHeight="9390" activeTab="3"/>
  </bookViews>
  <sheets>
    <sheet name="ARTIGO" sheetId="1" r:id="rId1"/>
    <sheet name="78 ONGS" sheetId="9" r:id="rId2"/>
    <sheet name="72 ONGs trab. voluntário" sheetId="17" r:id="rId3"/>
    <sheet name="72 ONGs" sheetId="7" r:id="rId4"/>
    <sheet name="72 com 2017" sheetId="4" r:id="rId5"/>
    <sheet name="47 trabalho voluntário" sheetId="10" r:id="rId6"/>
    <sheet name="32receita x trabalho voluntário" sheetId="13" r:id="rId7"/>
    <sheet name="26 com e sem restrição" sheetId="11" r:id="rId8"/>
    <sheet name="66 c 2017 ativo permanente" sheetId="6" r:id="rId9"/>
    <sheet name="22 receita x com-sem restrição" sheetId="12" r:id="rId10"/>
    <sheet name="gráfico" sheetId="16" r:id="rId11"/>
    <sheet name="LNREC" sheetId="18" r:id="rId12"/>
    <sheet name="Resultados" sheetId="19" r:id="rId1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3" i="18" l="1"/>
  <c r="D293" i="18"/>
  <c r="D294" i="18" s="1"/>
  <c r="D291" i="18"/>
  <c r="D292" i="18" s="1"/>
  <c r="D290" i="18"/>
  <c r="E289" i="18"/>
  <c r="E288" i="18"/>
  <c r="E287" i="18"/>
  <c r="E286" i="18"/>
  <c r="E285" i="18"/>
  <c r="E284" i="18"/>
  <c r="E283" i="18"/>
  <c r="E282" i="18"/>
  <c r="E281" i="18"/>
  <c r="E280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3" i="18"/>
  <c r="E262" i="18"/>
  <c r="E261" i="18"/>
  <c r="E260" i="18"/>
  <c r="E259" i="18"/>
  <c r="E258" i="18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9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E221" i="18"/>
  <c r="E220" i="18"/>
  <c r="E219" i="18"/>
  <c r="E218" i="18"/>
  <c r="E217" i="18"/>
  <c r="E216" i="18"/>
  <c r="E215" i="18"/>
  <c r="E214" i="18"/>
  <c r="E213" i="18"/>
  <c r="E212" i="18"/>
  <c r="E211" i="18"/>
  <c r="E210" i="18"/>
  <c r="E209" i="18"/>
  <c r="E208" i="18"/>
  <c r="E207" i="18"/>
  <c r="E206" i="18"/>
  <c r="E205" i="18"/>
  <c r="E204" i="18"/>
  <c r="E203" i="18"/>
  <c r="E202" i="18"/>
  <c r="E201" i="18"/>
  <c r="E200" i="18"/>
  <c r="E199" i="18"/>
  <c r="E198" i="18"/>
  <c r="E197" i="18"/>
  <c r="E196" i="18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AK44" i="17" l="1"/>
  <c r="AI44" i="17"/>
  <c r="AH44" i="17"/>
  <c r="I44" i="17"/>
  <c r="H44" i="17"/>
  <c r="G44" i="17"/>
  <c r="F44" i="17"/>
  <c r="D44" i="17"/>
  <c r="AK43" i="17"/>
  <c r="H43" i="17"/>
  <c r="G43" i="17"/>
  <c r="W43" i="17" s="1"/>
  <c r="F43" i="17"/>
  <c r="V43" i="17" s="1"/>
  <c r="E43" i="17"/>
  <c r="U43" i="17" s="1"/>
  <c r="D43" i="17"/>
  <c r="T43" i="17" s="1"/>
  <c r="AK42" i="17"/>
  <c r="AI42" i="17"/>
  <c r="AH42" i="17"/>
  <c r="AG42" i="17"/>
  <c r="AF42" i="17"/>
  <c r="G42" i="17"/>
  <c r="F42" i="17"/>
  <c r="E42" i="17"/>
  <c r="D42" i="17"/>
  <c r="AK41" i="17"/>
  <c r="AI41" i="17"/>
  <c r="AH41" i="17"/>
  <c r="AG41" i="17"/>
  <c r="AF41" i="17"/>
  <c r="G41" i="17"/>
  <c r="F41" i="17"/>
  <c r="E41" i="17"/>
  <c r="D41" i="17"/>
  <c r="AK40" i="17"/>
  <c r="AG40" i="17"/>
  <c r="AF40" i="17"/>
  <c r="K40" i="17"/>
  <c r="J40" i="17"/>
  <c r="I40" i="17"/>
  <c r="H40" i="17"/>
  <c r="G40" i="17"/>
  <c r="F40" i="17"/>
  <c r="E40" i="17"/>
  <c r="D40" i="17"/>
  <c r="AK39" i="17"/>
  <c r="W39" i="17"/>
  <c r="V39" i="17"/>
  <c r="U39" i="17"/>
  <c r="T39" i="17"/>
  <c r="S39" i="17"/>
  <c r="R39" i="17"/>
  <c r="Q39" i="17"/>
  <c r="P39" i="17"/>
  <c r="J39" i="17"/>
  <c r="I39" i="17"/>
  <c r="H39" i="17"/>
  <c r="D39" i="17"/>
  <c r="AK38" i="17"/>
  <c r="K38" i="17"/>
  <c r="J38" i="17"/>
  <c r="F38" i="17"/>
  <c r="E38" i="17"/>
  <c r="D38" i="17"/>
  <c r="AK37" i="17"/>
  <c r="AH37" i="17"/>
  <c r="AG37" i="17"/>
  <c r="AF37" i="17"/>
  <c r="G37" i="17"/>
  <c r="F37" i="17"/>
  <c r="E37" i="17"/>
  <c r="D37" i="17"/>
  <c r="AK36" i="17"/>
  <c r="AI36" i="17"/>
  <c r="AH36" i="17"/>
  <c r="G36" i="17"/>
  <c r="F36" i="17"/>
  <c r="E36" i="17"/>
  <c r="D36" i="17"/>
  <c r="AK35" i="17"/>
  <c r="W35" i="17"/>
  <c r="V35" i="17"/>
  <c r="U35" i="17"/>
  <c r="T35" i="17"/>
  <c r="K35" i="17"/>
  <c r="J35" i="17"/>
  <c r="I35" i="17"/>
  <c r="H35" i="17"/>
  <c r="G35" i="17"/>
  <c r="F35" i="17"/>
  <c r="E35" i="17"/>
  <c r="D35" i="17"/>
  <c r="AK34" i="17"/>
  <c r="AF34" i="17"/>
  <c r="V34" i="17"/>
  <c r="U34" i="17"/>
  <c r="T34" i="17"/>
  <c r="AK33" i="17"/>
  <c r="W33" i="17"/>
  <c r="V33" i="17"/>
  <c r="U33" i="17"/>
  <c r="T33" i="17"/>
  <c r="G33" i="17"/>
  <c r="F33" i="17"/>
  <c r="E33" i="17"/>
  <c r="D33" i="17"/>
  <c r="AK32" i="17"/>
  <c r="K32" i="17"/>
  <c r="J32" i="17"/>
  <c r="I32" i="17"/>
  <c r="G32" i="17"/>
  <c r="F32" i="17"/>
  <c r="AK31" i="17"/>
  <c r="H31" i="17"/>
  <c r="G31" i="17"/>
  <c r="F31" i="17"/>
  <c r="E31" i="17"/>
  <c r="D31" i="17"/>
  <c r="AK30" i="17"/>
  <c r="AG30" i="17"/>
  <c r="AF30" i="17"/>
  <c r="K30" i="17"/>
  <c r="J30" i="17"/>
  <c r="I30" i="17"/>
  <c r="H30" i="17"/>
  <c r="G30" i="17"/>
  <c r="F30" i="17"/>
  <c r="E30" i="17"/>
  <c r="D30" i="17"/>
  <c r="AK29" i="17"/>
  <c r="AB29" i="17"/>
  <c r="W29" i="17"/>
  <c r="V29" i="17"/>
  <c r="U29" i="17"/>
  <c r="T29" i="17"/>
  <c r="G29" i="17"/>
  <c r="S29" i="17" s="1"/>
  <c r="F29" i="17"/>
  <c r="R29" i="17" s="1"/>
  <c r="E29" i="17"/>
  <c r="Q29" i="17" s="1"/>
  <c r="D29" i="17"/>
  <c r="P29" i="17" s="1"/>
  <c r="AK28" i="17"/>
  <c r="AI28" i="17"/>
  <c r="AH28" i="17"/>
  <c r="W28" i="17"/>
  <c r="V28" i="17"/>
  <c r="U28" i="17"/>
  <c r="T28" i="17"/>
  <c r="R28" i="17"/>
  <c r="P28" i="17"/>
  <c r="G28" i="17"/>
  <c r="F28" i="17"/>
  <c r="E28" i="17"/>
  <c r="D28" i="17"/>
  <c r="AK27" i="17"/>
  <c r="AI27" i="17"/>
  <c r="AH27" i="17"/>
  <c r="AG27" i="17"/>
  <c r="AF27" i="17"/>
  <c r="V27" i="17"/>
  <c r="U27" i="17"/>
  <c r="T27" i="17"/>
  <c r="J27" i="17"/>
  <c r="I27" i="17"/>
  <c r="H27" i="17"/>
  <c r="F27" i="17"/>
  <c r="E27" i="17"/>
  <c r="D27" i="17"/>
  <c r="AK26" i="17"/>
  <c r="G26" i="17"/>
  <c r="F26" i="17"/>
  <c r="E26" i="17"/>
  <c r="D26" i="17"/>
  <c r="AK25" i="17"/>
  <c r="AI25" i="17"/>
  <c r="AH25" i="17"/>
  <c r="G25" i="17"/>
  <c r="F25" i="17"/>
  <c r="E25" i="17"/>
  <c r="D25" i="17"/>
  <c r="AK24" i="17"/>
  <c r="AI24" i="17"/>
  <c r="AH24" i="17"/>
  <c r="AG24" i="17"/>
  <c r="AF24" i="17"/>
  <c r="U24" i="17"/>
  <c r="T24" i="17"/>
  <c r="Q24" i="17"/>
  <c r="P24" i="17"/>
  <c r="H24" i="17"/>
  <c r="G24" i="17"/>
  <c r="F24" i="17"/>
  <c r="E24" i="17"/>
  <c r="D24" i="17"/>
  <c r="AK23" i="17"/>
  <c r="AI23" i="17"/>
  <c r="AH23" i="17"/>
  <c r="AG23" i="17"/>
  <c r="AF23" i="17"/>
  <c r="W23" i="17"/>
  <c r="V23" i="17"/>
  <c r="U23" i="17"/>
  <c r="T23" i="17"/>
  <c r="G23" i="17"/>
  <c r="F23" i="17"/>
  <c r="E23" i="17"/>
  <c r="D23" i="17"/>
  <c r="AK22" i="17"/>
  <c r="K22" i="17"/>
  <c r="J22" i="17"/>
  <c r="I22" i="17"/>
  <c r="H22" i="17"/>
  <c r="F22" i="17"/>
  <c r="E22" i="17"/>
  <c r="D22" i="17"/>
  <c r="AK21" i="17"/>
  <c r="AG21" i="17"/>
  <c r="AF21" i="17"/>
  <c r="W21" i="17"/>
  <c r="V21" i="17"/>
  <c r="U21" i="17"/>
  <c r="T21" i="17"/>
  <c r="I21" i="17"/>
  <c r="H21" i="17"/>
  <c r="G21" i="17"/>
  <c r="F21" i="17"/>
  <c r="E21" i="17"/>
  <c r="D21" i="17"/>
  <c r="AK20" i="17"/>
  <c r="G20" i="17"/>
  <c r="F20" i="17"/>
  <c r="E20" i="17"/>
  <c r="D20" i="17"/>
  <c r="AK19" i="17"/>
  <c r="AI19" i="17"/>
  <c r="AH19" i="17"/>
  <c r="AG19" i="17"/>
  <c r="AF19" i="17"/>
  <c r="G19" i="17"/>
  <c r="F19" i="17"/>
  <c r="E19" i="17"/>
  <c r="D19" i="17"/>
  <c r="AK18" i="17"/>
  <c r="G18" i="17"/>
  <c r="F18" i="17"/>
  <c r="E18" i="17"/>
  <c r="D18" i="17"/>
  <c r="AK17" i="17"/>
  <c r="G17" i="17"/>
  <c r="F17" i="17"/>
  <c r="E17" i="17"/>
  <c r="D17" i="17"/>
  <c r="AK16" i="17"/>
  <c r="AI16" i="17"/>
  <c r="AH16" i="17"/>
  <c r="AG16" i="17"/>
  <c r="AF16" i="17"/>
  <c r="F16" i="17"/>
  <c r="D16" i="17"/>
  <c r="AK15" i="17"/>
  <c r="K15" i="17"/>
  <c r="G15" i="17"/>
  <c r="F15" i="17"/>
  <c r="E15" i="17"/>
  <c r="D15" i="17"/>
  <c r="AK14" i="17"/>
  <c r="K14" i="17"/>
  <c r="J14" i="17"/>
  <c r="I14" i="17"/>
  <c r="H14" i="17"/>
  <c r="G14" i="17"/>
  <c r="F14" i="17"/>
  <c r="E14" i="17"/>
  <c r="D14" i="17"/>
  <c r="AK13" i="17"/>
  <c r="AB13" i="17"/>
  <c r="G13" i="17"/>
  <c r="F13" i="17"/>
  <c r="E13" i="17"/>
  <c r="D13" i="17"/>
  <c r="AK12" i="17"/>
  <c r="G12" i="17"/>
  <c r="F12" i="17"/>
  <c r="E12" i="17"/>
  <c r="D12" i="17"/>
  <c r="AK11" i="17"/>
  <c r="W11" i="17"/>
  <c r="V11" i="17"/>
  <c r="U11" i="17"/>
  <c r="T11" i="17"/>
  <c r="K11" i="17"/>
  <c r="J11" i="17"/>
  <c r="I11" i="17"/>
  <c r="H11" i="17"/>
  <c r="D11" i="17"/>
  <c r="AK10" i="17"/>
  <c r="AI10" i="17"/>
  <c r="AH10" i="17"/>
  <c r="AG10" i="17"/>
  <c r="AF10" i="17"/>
  <c r="AA10" i="17"/>
  <c r="Z10" i="17"/>
  <c r="Y10" i="17"/>
  <c r="X10" i="17"/>
  <c r="AK9" i="17"/>
  <c r="W9" i="17"/>
  <c r="V9" i="17"/>
  <c r="U9" i="17"/>
  <c r="T9" i="17"/>
  <c r="O9" i="17"/>
  <c r="N9" i="17"/>
  <c r="M9" i="17"/>
  <c r="L9" i="17"/>
  <c r="J9" i="17"/>
  <c r="I9" i="17"/>
  <c r="H9" i="17"/>
  <c r="E9" i="17"/>
  <c r="D9" i="17"/>
  <c r="AK8" i="17"/>
  <c r="AG8" i="17"/>
  <c r="AF8" i="17"/>
  <c r="G8" i="17"/>
  <c r="F8" i="17"/>
  <c r="E8" i="17"/>
  <c r="D8" i="17"/>
  <c r="AK7" i="17"/>
  <c r="F7" i="17"/>
  <c r="D7" i="17"/>
  <c r="AK6" i="17"/>
  <c r="K6" i="17"/>
  <c r="J6" i="17"/>
  <c r="I6" i="17"/>
  <c r="H6" i="17"/>
  <c r="E6" i="17"/>
  <c r="D6" i="17"/>
  <c r="AK5" i="17"/>
  <c r="AG5" i="17"/>
  <c r="W5" i="17"/>
  <c r="V5" i="17"/>
  <c r="T5" i="17"/>
  <c r="K5" i="17"/>
  <c r="J5" i="17"/>
  <c r="I5" i="17"/>
  <c r="H5" i="17"/>
  <c r="E5" i="17"/>
  <c r="U5" i="17" s="1"/>
  <c r="AK4" i="17"/>
  <c r="F4" i="17"/>
  <c r="E4" i="17"/>
  <c r="D4" i="17"/>
  <c r="AK3" i="17"/>
  <c r="J3" i="17"/>
  <c r="I3" i="17"/>
  <c r="D3" i="17"/>
  <c r="AK2" i="17"/>
  <c r="G2" i="17"/>
  <c r="F2" i="17"/>
  <c r="E2" i="17"/>
  <c r="D2" i="17"/>
  <c r="F74" i="4" l="1"/>
  <c r="F79" i="4" l="1"/>
  <c r="K27" i="12" l="1"/>
  <c r="L27" i="12"/>
  <c r="M27" i="12"/>
  <c r="M25" i="12"/>
  <c r="O27" i="12"/>
  <c r="O26" i="12"/>
  <c r="R8" i="12"/>
  <c r="R6" i="12"/>
  <c r="R5" i="12"/>
  <c r="R4" i="12"/>
  <c r="M4" i="12"/>
  <c r="E35" i="13"/>
  <c r="C35" i="13"/>
  <c r="D35" i="13"/>
  <c r="B35" i="13"/>
  <c r="N34" i="13"/>
  <c r="O2" i="13"/>
  <c r="O3" i="13"/>
  <c r="O4" i="13"/>
  <c r="M2" i="13"/>
  <c r="P2" i="13"/>
  <c r="Q2" i="13"/>
  <c r="P3" i="13"/>
  <c r="Q3" i="13"/>
  <c r="P4" i="13"/>
  <c r="Q4" i="13"/>
  <c r="M5" i="13"/>
  <c r="K6" i="13"/>
  <c r="L6" i="13"/>
  <c r="M6" i="13"/>
  <c r="O6" i="13"/>
  <c r="P6" i="13"/>
  <c r="Q6" i="13"/>
  <c r="L7" i="13"/>
  <c r="M7" i="13"/>
  <c r="O7" i="13"/>
  <c r="P7" i="13"/>
  <c r="Q7" i="13"/>
  <c r="O8" i="13"/>
  <c r="P8" i="13"/>
  <c r="Q8" i="13"/>
  <c r="O9" i="13"/>
  <c r="P9" i="13"/>
  <c r="Q9" i="13"/>
  <c r="O10" i="13"/>
  <c r="P10" i="13"/>
  <c r="Q10" i="13"/>
  <c r="O11" i="13"/>
  <c r="P11" i="13"/>
  <c r="Q11" i="13"/>
  <c r="O12" i="13"/>
  <c r="P12" i="13"/>
  <c r="Q12" i="13"/>
  <c r="O13" i="13"/>
  <c r="P13" i="13"/>
  <c r="Q13" i="13"/>
  <c r="O14" i="13"/>
  <c r="P14" i="13"/>
  <c r="Q14" i="13"/>
  <c r="O16" i="13"/>
  <c r="P16" i="13"/>
  <c r="Q16" i="13"/>
  <c r="O17" i="13"/>
  <c r="P17" i="13"/>
  <c r="Q17" i="13"/>
  <c r="O18" i="13"/>
  <c r="P18" i="13"/>
  <c r="Q18" i="13"/>
  <c r="O19" i="13"/>
  <c r="P19" i="13"/>
  <c r="Q19" i="13"/>
  <c r="O20" i="13"/>
  <c r="P20" i="13"/>
  <c r="Q20" i="13"/>
  <c r="O21" i="13"/>
  <c r="P21" i="13"/>
  <c r="Q21" i="13"/>
  <c r="O22" i="13"/>
  <c r="P22" i="13"/>
  <c r="Q22" i="13"/>
  <c r="O23" i="13"/>
  <c r="P23" i="13"/>
  <c r="Q23" i="13"/>
  <c r="K24" i="13"/>
  <c r="O24" i="13"/>
  <c r="P24" i="13"/>
  <c r="Q24" i="13"/>
  <c r="O25" i="13"/>
  <c r="P25" i="13"/>
  <c r="Q25" i="13"/>
  <c r="K26" i="13"/>
  <c r="L26" i="13"/>
  <c r="M26" i="13"/>
  <c r="O26" i="13"/>
  <c r="P26" i="13"/>
  <c r="Q26" i="13"/>
  <c r="O27" i="13"/>
  <c r="P27" i="13"/>
  <c r="Q27" i="13"/>
  <c r="O28" i="13"/>
  <c r="P28" i="13"/>
  <c r="Q28" i="13"/>
  <c r="L29" i="13"/>
  <c r="M29" i="13"/>
  <c r="O29" i="13"/>
  <c r="P29" i="13"/>
  <c r="Q29" i="13"/>
  <c r="O30" i="13"/>
  <c r="P30" i="13"/>
  <c r="Q30" i="13"/>
  <c r="O31" i="13"/>
  <c r="P31" i="13"/>
  <c r="Q31" i="13"/>
  <c r="O32" i="13"/>
  <c r="P32" i="13"/>
  <c r="Q32" i="13"/>
  <c r="O33" i="13"/>
  <c r="P33" i="13"/>
  <c r="Q33" i="13"/>
  <c r="X2" i="13"/>
  <c r="X3" i="13"/>
  <c r="X4" i="13"/>
  <c r="X6" i="13"/>
  <c r="X7" i="13"/>
  <c r="X8" i="13"/>
  <c r="X9" i="13"/>
  <c r="X10" i="13"/>
  <c r="X11" i="13"/>
  <c r="X12" i="13"/>
  <c r="X13" i="13"/>
  <c r="X14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W6" i="13"/>
  <c r="W26" i="13"/>
  <c r="R2" i="13"/>
  <c r="T2" i="13"/>
  <c r="U2" i="13"/>
  <c r="U34" i="13" s="1"/>
  <c r="S3" i="13"/>
  <c r="U3" i="13"/>
  <c r="R6" i="13"/>
  <c r="S6" i="13"/>
  <c r="T6" i="13"/>
  <c r="U6" i="13"/>
  <c r="S7" i="13"/>
  <c r="T7" i="13"/>
  <c r="U7" i="13"/>
  <c r="S10" i="13"/>
  <c r="U10" i="13"/>
  <c r="U14" i="13"/>
  <c r="U19" i="13"/>
  <c r="R24" i="13"/>
  <c r="S24" i="13"/>
  <c r="R26" i="13"/>
  <c r="S26" i="13"/>
  <c r="T26" i="13"/>
  <c r="U26" i="13"/>
  <c r="S29" i="13"/>
  <c r="T29" i="13"/>
  <c r="U29" i="13"/>
  <c r="S33" i="13"/>
  <c r="Z33" i="13"/>
  <c r="E33" i="13"/>
  <c r="U33" i="13" s="1"/>
  <c r="D33" i="13"/>
  <c r="T33" i="13" s="1"/>
  <c r="B33" i="13"/>
  <c r="R33" i="13" s="1"/>
  <c r="Z32" i="13"/>
  <c r="E32" i="13"/>
  <c r="U32" i="13" s="1"/>
  <c r="D32" i="13"/>
  <c r="T32" i="13" s="1"/>
  <c r="C32" i="13"/>
  <c r="S32" i="13" s="1"/>
  <c r="B32" i="13"/>
  <c r="R32" i="13" s="1"/>
  <c r="Z31" i="13"/>
  <c r="E31" i="13"/>
  <c r="U31" i="13" s="1"/>
  <c r="D31" i="13"/>
  <c r="T31" i="13" s="1"/>
  <c r="C31" i="13"/>
  <c r="S31" i="13" s="1"/>
  <c r="B31" i="13"/>
  <c r="R31" i="13" s="1"/>
  <c r="Z30" i="13"/>
  <c r="E30" i="13"/>
  <c r="U30" i="13" s="1"/>
  <c r="D30" i="13"/>
  <c r="T30" i="13" s="1"/>
  <c r="C30" i="13"/>
  <c r="S30" i="13" s="1"/>
  <c r="B30" i="13"/>
  <c r="R30" i="13" s="1"/>
  <c r="Z29" i="13"/>
  <c r="B29" i="13"/>
  <c r="R29" i="13" s="1"/>
  <c r="Z28" i="13"/>
  <c r="E28" i="13"/>
  <c r="U28" i="13" s="1"/>
  <c r="D28" i="13"/>
  <c r="T28" i="13" s="1"/>
  <c r="C28" i="13"/>
  <c r="S28" i="13" s="1"/>
  <c r="B28" i="13"/>
  <c r="R28" i="13" s="1"/>
  <c r="Z27" i="13"/>
  <c r="E27" i="13"/>
  <c r="U27" i="13" s="1"/>
  <c r="D27" i="13"/>
  <c r="T27" i="13" s="1"/>
  <c r="C27" i="13"/>
  <c r="S27" i="13" s="1"/>
  <c r="B27" i="13"/>
  <c r="R27" i="13" s="1"/>
  <c r="Z26" i="13"/>
  <c r="Z25" i="13"/>
  <c r="E25" i="13"/>
  <c r="U25" i="13" s="1"/>
  <c r="D25" i="13"/>
  <c r="T25" i="13" s="1"/>
  <c r="C25" i="13"/>
  <c r="S25" i="13" s="1"/>
  <c r="B25" i="13"/>
  <c r="R25" i="13" s="1"/>
  <c r="Z24" i="13"/>
  <c r="E24" i="13"/>
  <c r="U24" i="13" s="1"/>
  <c r="D24" i="13"/>
  <c r="Z23" i="13"/>
  <c r="E23" i="13"/>
  <c r="U23" i="13" s="1"/>
  <c r="D23" i="13"/>
  <c r="T23" i="13" s="1"/>
  <c r="C23" i="13"/>
  <c r="S23" i="13" s="1"/>
  <c r="B23" i="13"/>
  <c r="R23" i="13" s="1"/>
  <c r="Z22" i="13"/>
  <c r="E22" i="13"/>
  <c r="U22" i="13" s="1"/>
  <c r="D22" i="13"/>
  <c r="T22" i="13" s="1"/>
  <c r="C22" i="13"/>
  <c r="S22" i="13" s="1"/>
  <c r="B22" i="13"/>
  <c r="R22" i="13" s="1"/>
  <c r="Z21" i="13"/>
  <c r="E21" i="13"/>
  <c r="U21" i="13" s="1"/>
  <c r="D21" i="13"/>
  <c r="T21" i="13" s="1"/>
  <c r="C21" i="13"/>
  <c r="S21" i="13" s="1"/>
  <c r="B21" i="13"/>
  <c r="R21" i="13" s="1"/>
  <c r="Z20" i="13"/>
  <c r="E20" i="13"/>
  <c r="U20" i="13" s="1"/>
  <c r="D20" i="13"/>
  <c r="T20" i="13" s="1"/>
  <c r="C20" i="13"/>
  <c r="S20" i="13" s="1"/>
  <c r="B20" i="13"/>
  <c r="R20" i="13" s="1"/>
  <c r="Z19" i="13"/>
  <c r="D19" i="13"/>
  <c r="T19" i="13" s="1"/>
  <c r="C19" i="13"/>
  <c r="S19" i="13" s="1"/>
  <c r="B19" i="13"/>
  <c r="R19" i="13" s="1"/>
  <c r="Z18" i="13"/>
  <c r="E18" i="13"/>
  <c r="U18" i="13" s="1"/>
  <c r="D18" i="13"/>
  <c r="T18" i="13" s="1"/>
  <c r="C18" i="13"/>
  <c r="S18" i="13" s="1"/>
  <c r="B18" i="13"/>
  <c r="R18" i="13" s="1"/>
  <c r="Z17" i="13"/>
  <c r="E17" i="13"/>
  <c r="U17" i="13" s="1"/>
  <c r="D17" i="13"/>
  <c r="T17" i="13" s="1"/>
  <c r="C17" i="13"/>
  <c r="S17" i="13" s="1"/>
  <c r="B17" i="13"/>
  <c r="R17" i="13" s="1"/>
  <c r="Z16" i="13"/>
  <c r="E16" i="13"/>
  <c r="U16" i="13" s="1"/>
  <c r="D16" i="13"/>
  <c r="T16" i="13" s="1"/>
  <c r="C16" i="13"/>
  <c r="S16" i="13" s="1"/>
  <c r="B16" i="13"/>
  <c r="R16" i="13" s="1"/>
  <c r="Z15" i="13"/>
  <c r="H15" i="13"/>
  <c r="G15" i="13"/>
  <c r="F15" i="13"/>
  <c r="E15" i="13"/>
  <c r="U15" i="13" s="1"/>
  <c r="D15" i="13"/>
  <c r="C15" i="13"/>
  <c r="B15" i="13"/>
  <c r="Z14" i="13"/>
  <c r="D14" i="13"/>
  <c r="T14" i="13" s="1"/>
  <c r="C14" i="13"/>
  <c r="S14" i="13" s="1"/>
  <c r="B14" i="13"/>
  <c r="R14" i="13" s="1"/>
  <c r="Z13" i="13"/>
  <c r="E13" i="13"/>
  <c r="U13" i="13" s="1"/>
  <c r="D13" i="13"/>
  <c r="C13" i="13"/>
  <c r="S13" i="13" s="1"/>
  <c r="B13" i="13"/>
  <c r="R13" i="13" s="1"/>
  <c r="Z12" i="13"/>
  <c r="E12" i="13"/>
  <c r="U12" i="13" s="1"/>
  <c r="D12" i="13"/>
  <c r="T12" i="13" s="1"/>
  <c r="C12" i="13"/>
  <c r="S12" i="13" s="1"/>
  <c r="B12" i="13"/>
  <c r="R12" i="13" s="1"/>
  <c r="Z11" i="13"/>
  <c r="E11" i="13"/>
  <c r="U11" i="13" s="1"/>
  <c r="D11" i="13"/>
  <c r="T11" i="13" s="1"/>
  <c r="C11" i="13"/>
  <c r="S11" i="13" s="1"/>
  <c r="B11" i="13"/>
  <c r="R11" i="13" s="1"/>
  <c r="Z10" i="13"/>
  <c r="D10" i="13"/>
  <c r="T10" i="13" s="1"/>
  <c r="B10" i="13"/>
  <c r="R10" i="13" s="1"/>
  <c r="Z9" i="13"/>
  <c r="E9" i="13"/>
  <c r="U9" i="13" s="1"/>
  <c r="D9" i="13"/>
  <c r="T9" i="13" s="1"/>
  <c r="C9" i="13"/>
  <c r="S9" i="13" s="1"/>
  <c r="B9" i="13"/>
  <c r="R9" i="13" s="1"/>
  <c r="Z8" i="13"/>
  <c r="E8" i="13"/>
  <c r="U8" i="13" s="1"/>
  <c r="D8" i="13"/>
  <c r="T8" i="13" s="1"/>
  <c r="C8" i="13"/>
  <c r="S8" i="13" s="1"/>
  <c r="B8" i="13"/>
  <c r="R8" i="13" s="1"/>
  <c r="Z7" i="13"/>
  <c r="B7" i="13"/>
  <c r="R7" i="13" s="1"/>
  <c r="Z6" i="13"/>
  <c r="Z5" i="13"/>
  <c r="I5" i="13"/>
  <c r="U5" i="13" s="1"/>
  <c r="H5" i="13"/>
  <c r="T5" i="13" s="1"/>
  <c r="G5" i="13"/>
  <c r="F5" i="13"/>
  <c r="F34" i="13" s="1"/>
  <c r="C5" i="13"/>
  <c r="B5" i="13"/>
  <c r="Z4" i="13"/>
  <c r="E4" i="13"/>
  <c r="U4" i="13" s="1"/>
  <c r="D4" i="13"/>
  <c r="T4" i="13" s="1"/>
  <c r="C4" i="13"/>
  <c r="S4" i="13" s="1"/>
  <c r="B4" i="13"/>
  <c r="R4" i="13" s="1"/>
  <c r="Z3" i="13"/>
  <c r="D3" i="13"/>
  <c r="T3" i="13" s="1"/>
  <c r="B3" i="13"/>
  <c r="R3" i="13" s="1"/>
  <c r="Z2" i="13"/>
  <c r="C2" i="13"/>
  <c r="S2" i="13" s="1"/>
  <c r="F7" i="11"/>
  <c r="M5" i="12"/>
  <c r="M8" i="12"/>
  <c r="M15" i="12"/>
  <c r="M21" i="12"/>
  <c r="M23" i="12"/>
  <c r="M2" i="12"/>
  <c r="K3" i="12"/>
  <c r="K5" i="12"/>
  <c r="K6" i="12"/>
  <c r="K7" i="12"/>
  <c r="K8" i="12"/>
  <c r="K9" i="12"/>
  <c r="K11" i="12"/>
  <c r="K12" i="12"/>
  <c r="K13" i="12"/>
  <c r="K17" i="12"/>
  <c r="K18" i="12"/>
  <c r="K19" i="12"/>
  <c r="K21" i="12"/>
  <c r="K22" i="12"/>
  <c r="K23" i="12"/>
  <c r="K2" i="12"/>
  <c r="J18" i="12"/>
  <c r="X23" i="12"/>
  <c r="E23" i="12"/>
  <c r="D23" i="12"/>
  <c r="B23" i="12"/>
  <c r="X22" i="12"/>
  <c r="E22" i="12"/>
  <c r="R22" i="12" s="1"/>
  <c r="D22" i="12"/>
  <c r="Q22" i="12" s="1"/>
  <c r="C22" i="12"/>
  <c r="P22" i="12" s="1"/>
  <c r="B22" i="12"/>
  <c r="O22" i="12" s="1"/>
  <c r="X21" i="12"/>
  <c r="E21" i="12"/>
  <c r="D21" i="12"/>
  <c r="C21" i="12"/>
  <c r="B21" i="12"/>
  <c r="X20" i="12"/>
  <c r="R20" i="12"/>
  <c r="Q20" i="12"/>
  <c r="P20" i="12"/>
  <c r="O20" i="12"/>
  <c r="I20" i="12"/>
  <c r="H20" i="12"/>
  <c r="G20" i="12"/>
  <c r="F20" i="12"/>
  <c r="B20" i="12"/>
  <c r="J20" i="12" s="1"/>
  <c r="X19" i="12"/>
  <c r="R19" i="12"/>
  <c r="Q19" i="12"/>
  <c r="P19" i="12"/>
  <c r="O19" i="12"/>
  <c r="E19" i="12"/>
  <c r="D19" i="12"/>
  <c r="C19" i="12"/>
  <c r="B19" i="12"/>
  <c r="X18" i="12"/>
  <c r="Q18" i="12"/>
  <c r="P18" i="12"/>
  <c r="O18" i="12"/>
  <c r="X17" i="12"/>
  <c r="R17" i="12"/>
  <c r="Q17" i="12"/>
  <c r="P17" i="12"/>
  <c r="O17" i="12"/>
  <c r="E17" i="12"/>
  <c r="D17" i="12"/>
  <c r="C17" i="12"/>
  <c r="B17" i="12"/>
  <c r="X16" i="12"/>
  <c r="R16" i="12"/>
  <c r="Q16" i="12"/>
  <c r="P16" i="12"/>
  <c r="O16" i="12"/>
  <c r="F16" i="12"/>
  <c r="K16" i="12" s="1"/>
  <c r="E16" i="12"/>
  <c r="D16" i="12"/>
  <c r="C16" i="12"/>
  <c r="B16" i="12"/>
  <c r="X15" i="12"/>
  <c r="E15" i="12"/>
  <c r="I15" i="12" s="1"/>
  <c r="D15" i="12"/>
  <c r="H15" i="12" s="1"/>
  <c r="C15" i="12"/>
  <c r="G15" i="12" s="1"/>
  <c r="B15" i="12"/>
  <c r="F15" i="12" s="1"/>
  <c r="X14" i="12"/>
  <c r="R14" i="12"/>
  <c r="Q14" i="12"/>
  <c r="P14" i="12"/>
  <c r="O14" i="12"/>
  <c r="H14" i="12"/>
  <c r="F14" i="12"/>
  <c r="E14" i="12"/>
  <c r="D14" i="12"/>
  <c r="C14" i="12"/>
  <c r="B14" i="12"/>
  <c r="X13" i="12"/>
  <c r="Q13" i="12"/>
  <c r="P13" i="12"/>
  <c r="O13" i="12"/>
  <c r="D13" i="12"/>
  <c r="C13" i="12"/>
  <c r="B13" i="12"/>
  <c r="X12" i="12"/>
  <c r="R12" i="12"/>
  <c r="Q12" i="12"/>
  <c r="P12" i="12"/>
  <c r="O12" i="12"/>
  <c r="E12" i="12"/>
  <c r="D12" i="12"/>
  <c r="C12" i="12"/>
  <c r="B12" i="12"/>
  <c r="X11" i="12"/>
  <c r="R11" i="12"/>
  <c r="Q11" i="12"/>
  <c r="P11" i="12"/>
  <c r="O11" i="12"/>
  <c r="E11" i="12"/>
  <c r="D11" i="12"/>
  <c r="C11" i="12"/>
  <c r="B11" i="12"/>
  <c r="X10" i="12"/>
  <c r="R10" i="12"/>
  <c r="Q10" i="12"/>
  <c r="O10" i="12"/>
  <c r="G10" i="12"/>
  <c r="F10" i="12"/>
  <c r="E10" i="12"/>
  <c r="D10" i="12"/>
  <c r="B10" i="12"/>
  <c r="X9" i="12"/>
  <c r="R9" i="12"/>
  <c r="Q9" i="12"/>
  <c r="P9" i="12"/>
  <c r="O9" i="12"/>
  <c r="E9" i="12"/>
  <c r="D9" i="12"/>
  <c r="C9" i="12"/>
  <c r="B9" i="12"/>
  <c r="X8" i="12"/>
  <c r="E8" i="12"/>
  <c r="D8" i="12"/>
  <c r="C8" i="12"/>
  <c r="B8" i="12"/>
  <c r="X7" i="12"/>
  <c r="R7" i="12"/>
  <c r="Q7" i="12"/>
  <c r="P7" i="12"/>
  <c r="O7" i="12"/>
  <c r="B7" i="12"/>
  <c r="J7" i="12" s="1"/>
  <c r="X6" i="12"/>
  <c r="Q6" i="12"/>
  <c r="P6" i="12"/>
  <c r="O6" i="12"/>
  <c r="C6" i="12"/>
  <c r="B6" i="12"/>
  <c r="X5" i="12"/>
  <c r="D5" i="12"/>
  <c r="B5" i="12"/>
  <c r="X4" i="12"/>
  <c r="Q4" i="12"/>
  <c r="P4" i="12"/>
  <c r="O4" i="12"/>
  <c r="H4" i="12"/>
  <c r="F4" i="12"/>
  <c r="X3" i="12"/>
  <c r="R3" i="12"/>
  <c r="Q3" i="12"/>
  <c r="O3" i="12"/>
  <c r="C3" i="12"/>
  <c r="P3" i="12" s="1"/>
  <c r="X2" i="12"/>
  <c r="B2" i="12"/>
  <c r="J2" i="12" s="1"/>
  <c r="C4" i="11"/>
  <c r="D4" i="11"/>
  <c r="G4" i="11"/>
  <c r="H4" i="11"/>
  <c r="B5" i="11"/>
  <c r="D5" i="11"/>
  <c r="F5" i="11"/>
  <c r="G5" i="11"/>
  <c r="H5" i="11"/>
  <c r="I5" i="11"/>
  <c r="G7" i="11"/>
  <c r="H7" i="11"/>
  <c r="I7" i="11"/>
  <c r="F8" i="11"/>
  <c r="G8" i="11"/>
  <c r="H8" i="11"/>
  <c r="I8" i="11"/>
  <c r="B9" i="11"/>
  <c r="C9" i="11"/>
  <c r="F11" i="11"/>
  <c r="G11" i="11"/>
  <c r="H11" i="11"/>
  <c r="I11" i="11"/>
  <c r="B12" i="11"/>
  <c r="C12" i="11"/>
  <c r="F12" i="11"/>
  <c r="H12" i="11"/>
  <c r="I12" i="11"/>
  <c r="F13" i="11"/>
  <c r="G13" i="11"/>
  <c r="H13" i="11"/>
  <c r="I13" i="11"/>
  <c r="F14" i="11"/>
  <c r="G14" i="11"/>
  <c r="H14" i="11"/>
  <c r="I14" i="11"/>
  <c r="B15" i="11"/>
  <c r="C15" i="11"/>
  <c r="F15" i="11"/>
  <c r="G15" i="11"/>
  <c r="F16" i="11"/>
  <c r="G16" i="11"/>
  <c r="H16" i="11"/>
  <c r="B17" i="11"/>
  <c r="D17" i="11"/>
  <c r="F17" i="11"/>
  <c r="G17" i="11"/>
  <c r="H17" i="11"/>
  <c r="I17" i="11"/>
  <c r="B19" i="11"/>
  <c r="F19" i="11"/>
  <c r="G19" i="11"/>
  <c r="H19" i="11"/>
  <c r="I19" i="11"/>
  <c r="F20" i="11"/>
  <c r="G20" i="11"/>
  <c r="H20" i="11"/>
  <c r="I20" i="11"/>
  <c r="F21" i="11"/>
  <c r="G21" i="11"/>
  <c r="H21" i="11"/>
  <c r="F22" i="11"/>
  <c r="G22" i="11"/>
  <c r="H22" i="11"/>
  <c r="I22" i="11"/>
  <c r="B24" i="11"/>
  <c r="C24" i="11"/>
  <c r="D24" i="11"/>
  <c r="E24" i="11"/>
  <c r="F24" i="11"/>
  <c r="G24" i="11"/>
  <c r="H24" i="11"/>
  <c r="I24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2" i="11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D23" i="10"/>
  <c r="C23" i="10"/>
  <c r="B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E9" i="10"/>
  <c r="D9" i="10"/>
  <c r="C9" i="10"/>
  <c r="B9" i="10"/>
  <c r="G8" i="10"/>
  <c r="G7" i="10"/>
  <c r="G6" i="10"/>
  <c r="G5" i="10"/>
  <c r="G4" i="10"/>
  <c r="G3" i="10"/>
  <c r="G2" i="10"/>
  <c r="AK79" i="9"/>
  <c r="AI79" i="9"/>
  <c r="AH79" i="9"/>
  <c r="I79" i="9"/>
  <c r="H79" i="9"/>
  <c r="G79" i="9"/>
  <c r="F79" i="9"/>
  <c r="D79" i="9"/>
  <c r="AK78" i="9"/>
  <c r="H78" i="9"/>
  <c r="G78" i="9"/>
  <c r="W78" i="9" s="1"/>
  <c r="F78" i="9"/>
  <c r="V78" i="9" s="1"/>
  <c r="E78" i="9"/>
  <c r="U78" i="9" s="1"/>
  <c r="D78" i="9"/>
  <c r="T78" i="9" s="1"/>
  <c r="AK77" i="9"/>
  <c r="AI77" i="9"/>
  <c r="AH77" i="9"/>
  <c r="AG77" i="9"/>
  <c r="AF77" i="9"/>
  <c r="G77" i="9"/>
  <c r="F77" i="9"/>
  <c r="E77" i="9"/>
  <c r="D77" i="9"/>
  <c r="AK76" i="9"/>
  <c r="K76" i="9"/>
  <c r="H76" i="9"/>
  <c r="G76" i="9"/>
  <c r="F76" i="9"/>
  <c r="E76" i="9"/>
  <c r="D76" i="9"/>
  <c r="AK75" i="9"/>
  <c r="AI75" i="9"/>
  <c r="AH75" i="9"/>
  <c r="AG75" i="9"/>
  <c r="AF75" i="9"/>
  <c r="G75" i="9"/>
  <c r="F75" i="9"/>
  <c r="E75" i="9"/>
  <c r="D75" i="9"/>
  <c r="AK74" i="9"/>
  <c r="AG74" i="9"/>
  <c r="AF74" i="9"/>
  <c r="K74" i="9"/>
  <c r="J74" i="9"/>
  <c r="I74" i="9"/>
  <c r="H74" i="9"/>
  <c r="G74" i="9"/>
  <c r="F74" i="9"/>
  <c r="E74" i="9"/>
  <c r="D74" i="9"/>
  <c r="AK73" i="9"/>
  <c r="W73" i="9"/>
  <c r="V73" i="9"/>
  <c r="U73" i="9"/>
  <c r="T73" i="9"/>
  <c r="S73" i="9"/>
  <c r="R73" i="9"/>
  <c r="Q73" i="9"/>
  <c r="P73" i="9"/>
  <c r="J73" i="9"/>
  <c r="I73" i="9"/>
  <c r="H73" i="9"/>
  <c r="D73" i="9"/>
  <c r="AK72" i="9"/>
  <c r="K72" i="9"/>
  <c r="J72" i="9"/>
  <c r="F72" i="9"/>
  <c r="E72" i="9"/>
  <c r="D72" i="9"/>
  <c r="AK71" i="9"/>
  <c r="J71" i="9"/>
  <c r="I71" i="9"/>
  <c r="H71" i="9"/>
  <c r="AK70" i="9"/>
  <c r="AI70" i="9"/>
  <c r="AH70" i="9"/>
  <c r="AG70" i="9"/>
  <c r="AF70" i="9"/>
  <c r="AE70" i="9"/>
  <c r="AD70" i="9"/>
  <c r="AC70" i="9"/>
  <c r="AB70" i="9"/>
  <c r="K70" i="9"/>
  <c r="J70" i="9"/>
  <c r="H70" i="9"/>
  <c r="G70" i="9"/>
  <c r="F70" i="9"/>
  <c r="E70" i="9"/>
  <c r="D70" i="9"/>
  <c r="AK69" i="9"/>
  <c r="AH69" i="9"/>
  <c r="AG69" i="9"/>
  <c r="AF69" i="9"/>
  <c r="G69" i="9"/>
  <c r="F69" i="9"/>
  <c r="E69" i="9"/>
  <c r="D69" i="9"/>
  <c r="AK68" i="9"/>
  <c r="AI68" i="9"/>
  <c r="AH68" i="9"/>
  <c r="G68" i="9"/>
  <c r="F68" i="9"/>
  <c r="E68" i="9"/>
  <c r="D68" i="9"/>
  <c r="AK67" i="9"/>
  <c r="AK66" i="9"/>
  <c r="W66" i="9"/>
  <c r="V66" i="9"/>
  <c r="U66" i="9"/>
  <c r="T66" i="9"/>
  <c r="K66" i="9"/>
  <c r="J66" i="9"/>
  <c r="I66" i="9"/>
  <c r="H66" i="9"/>
  <c r="G66" i="9"/>
  <c r="F66" i="9"/>
  <c r="E66" i="9"/>
  <c r="D66" i="9"/>
  <c r="AK65" i="9"/>
  <c r="AF65" i="9"/>
  <c r="V65" i="9"/>
  <c r="U65" i="9"/>
  <c r="T65" i="9"/>
  <c r="AK64" i="9"/>
  <c r="AI64" i="9"/>
  <c r="AH64" i="9"/>
  <c r="AG64" i="9"/>
  <c r="AF64" i="9"/>
  <c r="G64" i="9"/>
  <c r="F64" i="9"/>
  <c r="E64" i="9"/>
  <c r="D64" i="9"/>
  <c r="AK63" i="9"/>
  <c r="AI63" i="9"/>
  <c r="AH63" i="9"/>
  <c r="G63" i="9"/>
  <c r="F63" i="9"/>
  <c r="E63" i="9"/>
  <c r="D63" i="9"/>
  <c r="AK62" i="9"/>
  <c r="W62" i="9"/>
  <c r="V62" i="9"/>
  <c r="U62" i="9"/>
  <c r="T62" i="9"/>
  <c r="G62" i="9"/>
  <c r="F62" i="9"/>
  <c r="E62" i="9"/>
  <c r="D62" i="9"/>
  <c r="AK61" i="9"/>
  <c r="G61" i="9"/>
  <c r="F61" i="9"/>
  <c r="E61" i="9"/>
  <c r="D61" i="9"/>
  <c r="AK60" i="9"/>
  <c r="AI60" i="9"/>
  <c r="AH60" i="9"/>
  <c r="AG60" i="9"/>
  <c r="AF60" i="9"/>
  <c r="W60" i="9"/>
  <c r="V60" i="9"/>
  <c r="U60" i="9"/>
  <c r="T60" i="9"/>
  <c r="P60" i="9"/>
  <c r="G60" i="9"/>
  <c r="F60" i="9"/>
  <c r="E60" i="9"/>
  <c r="D60" i="9"/>
  <c r="AK59" i="9"/>
  <c r="K59" i="9"/>
  <c r="J59" i="9"/>
  <c r="I59" i="9"/>
  <c r="G59" i="9"/>
  <c r="F59" i="9"/>
  <c r="AK58" i="9"/>
  <c r="G58" i="9"/>
  <c r="F58" i="9"/>
  <c r="E58" i="9"/>
  <c r="AK57" i="9"/>
  <c r="G57" i="9"/>
  <c r="F57" i="9"/>
  <c r="E57" i="9"/>
  <c r="D57" i="9"/>
  <c r="AK56" i="9"/>
  <c r="G56" i="9"/>
  <c r="F56" i="9"/>
  <c r="E56" i="9"/>
  <c r="D56" i="9"/>
  <c r="AK55" i="9"/>
  <c r="AB55" i="9"/>
  <c r="G55" i="9"/>
  <c r="F55" i="9"/>
  <c r="E55" i="9"/>
  <c r="D55" i="9"/>
  <c r="AK54" i="9"/>
  <c r="H54" i="9"/>
  <c r="G54" i="9"/>
  <c r="F54" i="9"/>
  <c r="E54" i="9"/>
  <c r="D54" i="9"/>
  <c r="AK53" i="9"/>
  <c r="AH53" i="9"/>
  <c r="AG53" i="9"/>
  <c r="AF53" i="9"/>
  <c r="F53" i="9"/>
  <c r="E53" i="9"/>
  <c r="D53" i="9"/>
  <c r="AK52" i="9"/>
  <c r="F52" i="9"/>
  <c r="E52" i="9"/>
  <c r="D52" i="9"/>
  <c r="AK51" i="9"/>
  <c r="AG51" i="9"/>
  <c r="AF51" i="9"/>
  <c r="K51" i="9"/>
  <c r="J51" i="9"/>
  <c r="I51" i="9"/>
  <c r="H51" i="9"/>
  <c r="G51" i="9"/>
  <c r="F51" i="9"/>
  <c r="E51" i="9"/>
  <c r="D51" i="9"/>
  <c r="AK50" i="9"/>
  <c r="AB50" i="9"/>
  <c r="W50" i="9"/>
  <c r="V50" i="9"/>
  <c r="U50" i="9"/>
  <c r="T50" i="9"/>
  <c r="G50" i="9"/>
  <c r="S50" i="9" s="1"/>
  <c r="F50" i="9"/>
  <c r="R50" i="9" s="1"/>
  <c r="E50" i="9"/>
  <c r="Q50" i="9" s="1"/>
  <c r="D50" i="9"/>
  <c r="P50" i="9" s="1"/>
  <c r="AK49" i="9"/>
  <c r="AI49" i="9"/>
  <c r="AH49" i="9"/>
  <c r="W49" i="9"/>
  <c r="V49" i="9"/>
  <c r="U49" i="9"/>
  <c r="T49" i="9"/>
  <c r="R49" i="9"/>
  <c r="P49" i="9"/>
  <c r="G49" i="9"/>
  <c r="F49" i="9"/>
  <c r="E49" i="9"/>
  <c r="D49" i="9"/>
  <c r="AK48" i="9"/>
  <c r="AI48" i="9"/>
  <c r="AH48" i="9"/>
  <c r="AG48" i="9"/>
  <c r="AF48" i="9"/>
  <c r="V48" i="9"/>
  <c r="U48" i="9"/>
  <c r="T48" i="9"/>
  <c r="J48" i="9"/>
  <c r="I48" i="9"/>
  <c r="H48" i="9"/>
  <c r="F48" i="9"/>
  <c r="E48" i="9"/>
  <c r="D48" i="9"/>
  <c r="AK47" i="9"/>
  <c r="AD47" i="9"/>
  <c r="H47" i="9"/>
  <c r="G47" i="9"/>
  <c r="F47" i="9"/>
  <c r="E47" i="9"/>
  <c r="D47" i="9"/>
  <c r="AK46" i="9"/>
  <c r="G46" i="9"/>
  <c r="F46" i="9"/>
  <c r="E46" i="9"/>
  <c r="D46" i="9"/>
  <c r="AK45" i="9"/>
  <c r="AI45" i="9"/>
  <c r="AH45" i="9"/>
  <c r="G45" i="9"/>
  <c r="F45" i="9"/>
  <c r="E45" i="9"/>
  <c r="D45" i="9"/>
  <c r="AK44" i="9"/>
  <c r="AI44" i="9"/>
  <c r="AH44" i="9"/>
  <c r="AG44" i="9"/>
  <c r="AF44" i="9"/>
  <c r="U44" i="9"/>
  <c r="T44" i="9"/>
  <c r="Q44" i="9"/>
  <c r="P44" i="9"/>
  <c r="H44" i="9"/>
  <c r="G44" i="9"/>
  <c r="F44" i="9"/>
  <c r="E44" i="9"/>
  <c r="D44" i="9"/>
  <c r="AK43" i="9"/>
  <c r="AI43" i="9"/>
  <c r="AH43" i="9"/>
  <c r="AG43" i="9"/>
  <c r="AF43" i="9"/>
  <c r="W43" i="9"/>
  <c r="V43" i="9"/>
  <c r="U43" i="9"/>
  <c r="T43" i="9"/>
  <c r="G43" i="9"/>
  <c r="F43" i="9"/>
  <c r="E43" i="9"/>
  <c r="D43" i="9"/>
  <c r="AK42" i="9"/>
  <c r="AI42" i="9"/>
  <c r="AH42" i="9"/>
  <c r="AG42" i="9"/>
  <c r="AF42" i="9"/>
  <c r="N42" i="9"/>
  <c r="M42" i="9"/>
  <c r="L42" i="9"/>
  <c r="G42" i="9"/>
  <c r="F42" i="9"/>
  <c r="E42" i="9"/>
  <c r="D42" i="9"/>
  <c r="AK41" i="9"/>
  <c r="K41" i="9"/>
  <c r="J41" i="9"/>
  <c r="I41" i="9"/>
  <c r="H41" i="9"/>
  <c r="F41" i="9"/>
  <c r="E41" i="9"/>
  <c r="D41" i="9"/>
  <c r="AK40" i="9"/>
  <c r="AG40" i="9"/>
  <c r="AF40" i="9"/>
  <c r="W40" i="9"/>
  <c r="V40" i="9"/>
  <c r="U40" i="9"/>
  <c r="T40" i="9"/>
  <c r="I40" i="9"/>
  <c r="H40" i="9"/>
  <c r="G40" i="9"/>
  <c r="F40" i="9"/>
  <c r="E40" i="9"/>
  <c r="D40" i="9"/>
  <c r="AK39" i="9"/>
  <c r="W39" i="9"/>
  <c r="V39" i="9"/>
  <c r="T39" i="9"/>
  <c r="Q39" i="9"/>
  <c r="P39" i="9"/>
  <c r="G39" i="9"/>
  <c r="F39" i="9"/>
  <c r="D39" i="9"/>
  <c r="AK38" i="9"/>
  <c r="W38" i="9"/>
  <c r="V38" i="9"/>
  <c r="U38" i="9"/>
  <c r="T38" i="9"/>
  <c r="K38" i="9"/>
  <c r="J38" i="9"/>
  <c r="I38" i="9"/>
  <c r="H38" i="9"/>
  <c r="G38" i="9"/>
  <c r="F38" i="9"/>
  <c r="E38" i="9"/>
  <c r="D38" i="9"/>
  <c r="AK37" i="9"/>
  <c r="G37" i="9"/>
  <c r="F37" i="9"/>
  <c r="E37" i="9"/>
  <c r="D37" i="9"/>
  <c r="AK36" i="9"/>
  <c r="I36" i="9"/>
  <c r="H36" i="9"/>
  <c r="F36" i="9"/>
  <c r="E36" i="9"/>
  <c r="D36" i="9"/>
  <c r="AK35" i="9"/>
  <c r="AH35" i="9"/>
  <c r="AG35" i="9"/>
  <c r="AF35" i="9"/>
  <c r="Q35" i="9"/>
  <c r="P35" i="9"/>
  <c r="G35" i="9"/>
  <c r="F35" i="9"/>
  <c r="E35" i="9"/>
  <c r="D35" i="9"/>
  <c r="AK34" i="9"/>
  <c r="AI34" i="9"/>
  <c r="AH34" i="9"/>
  <c r="AG34" i="9"/>
  <c r="AF34" i="9"/>
  <c r="G34" i="9"/>
  <c r="F34" i="9"/>
  <c r="E34" i="9"/>
  <c r="D34" i="9"/>
  <c r="AK33" i="9"/>
  <c r="K33" i="9"/>
  <c r="J33" i="9"/>
  <c r="I33" i="9"/>
  <c r="G33" i="9"/>
  <c r="F33" i="9"/>
  <c r="E33" i="9"/>
  <c r="D33" i="9"/>
  <c r="AK32" i="9"/>
  <c r="G32" i="9"/>
  <c r="F32" i="9"/>
  <c r="E32" i="9"/>
  <c r="D32" i="9"/>
  <c r="AK31" i="9"/>
  <c r="G31" i="9"/>
  <c r="F31" i="9"/>
  <c r="E31" i="9"/>
  <c r="D31" i="9"/>
  <c r="AK30" i="9"/>
  <c r="AI30" i="9"/>
  <c r="AH30" i="9"/>
  <c r="AG30" i="9"/>
  <c r="AF30" i="9"/>
  <c r="F30" i="9"/>
  <c r="D30" i="9"/>
  <c r="AK29" i="9"/>
  <c r="K29" i="9"/>
  <c r="G29" i="9"/>
  <c r="F29" i="9"/>
  <c r="E29" i="9"/>
  <c r="D29" i="9"/>
  <c r="AK28" i="9"/>
  <c r="F28" i="9"/>
  <c r="E28" i="9"/>
  <c r="D28" i="9"/>
  <c r="AK27" i="9"/>
  <c r="AG27" i="9"/>
  <c r="AF27" i="9"/>
  <c r="K27" i="9"/>
  <c r="J27" i="9"/>
  <c r="I27" i="9"/>
  <c r="H27" i="9"/>
  <c r="G27" i="9"/>
  <c r="F27" i="9"/>
  <c r="E27" i="9"/>
  <c r="D27" i="9"/>
  <c r="AK26" i="9"/>
  <c r="F26" i="9"/>
  <c r="E26" i="9"/>
  <c r="D26" i="9"/>
  <c r="AK25" i="9"/>
  <c r="G25" i="9"/>
  <c r="F25" i="9"/>
  <c r="E25" i="9"/>
  <c r="D25" i="9"/>
  <c r="AK24" i="9"/>
  <c r="K24" i="9"/>
  <c r="J24" i="9"/>
  <c r="I24" i="9"/>
  <c r="H24" i="9"/>
  <c r="G24" i="9"/>
  <c r="F24" i="9"/>
  <c r="E24" i="9"/>
  <c r="D24" i="9"/>
  <c r="AK23" i="9"/>
  <c r="AB23" i="9"/>
  <c r="G23" i="9"/>
  <c r="F23" i="9"/>
  <c r="E23" i="9"/>
  <c r="D23" i="9"/>
  <c r="AK22" i="9"/>
  <c r="G22" i="9"/>
  <c r="F22" i="9"/>
  <c r="E22" i="9"/>
  <c r="D22" i="9"/>
  <c r="AK21" i="9"/>
  <c r="G21" i="9"/>
  <c r="F21" i="9"/>
  <c r="E21" i="9"/>
  <c r="D21" i="9"/>
  <c r="AK20" i="9"/>
  <c r="W20" i="9"/>
  <c r="V20" i="9"/>
  <c r="U20" i="9"/>
  <c r="T20" i="9"/>
  <c r="K20" i="9"/>
  <c r="J20" i="9"/>
  <c r="I20" i="9"/>
  <c r="H20" i="9"/>
  <c r="D20" i="9"/>
  <c r="AK19" i="9"/>
  <c r="AI19" i="9"/>
  <c r="AH19" i="9"/>
  <c r="AG19" i="9"/>
  <c r="AF19" i="9"/>
  <c r="AA19" i="9"/>
  <c r="Z19" i="9"/>
  <c r="Y19" i="9"/>
  <c r="X19" i="9"/>
  <c r="AK18" i="9"/>
  <c r="D18" i="9"/>
  <c r="AK17" i="9"/>
  <c r="W17" i="9"/>
  <c r="V17" i="9"/>
  <c r="U17" i="9"/>
  <c r="T17" i="9"/>
  <c r="O17" i="9"/>
  <c r="N17" i="9"/>
  <c r="M17" i="9"/>
  <c r="L17" i="9"/>
  <c r="J17" i="9"/>
  <c r="I17" i="9"/>
  <c r="H17" i="9"/>
  <c r="E17" i="9"/>
  <c r="D17" i="9"/>
  <c r="AK16" i="9"/>
  <c r="AG16" i="9"/>
  <c r="AF16" i="9"/>
  <c r="G16" i="9"/>
  <c r="F16" i="9"/>
  <c r="E16" i="9"/>
  <c r="D16" i="9"/>
  <c r="AK15" i="9"/>
  <c r="F15" i="9"/>
  <c r="D15" i="9"/>
  <c r="AK14" i="9"/>
  <c r="AI14" i="9"/>
  <c r="AH14" i="9"/>
  <c r="W14" i="9"/>
  <c r="V14" i="9"/>
  <c r="U14" i="9"/>
  <c r="T14" i="9"/>
  <c r="R14" i="9"/>
  <c r="P14" i="9"/>
  <c r="K14" i="9"/>
  <c r="J14" i="9"/>
  <c r="I14" i="9"/>
  <c r="H14" i="9"/>
  <c r="G14" i="9"/>
  <c r="F14" i="9"/>
  <c r="E14" i="9"/>
  <c r="D14" i="9"/>
  <c r="AK13" i="9"/>
  <c r="AI13" i="9"/>
  <c r="AH13" i="9"/>
  <c r="AG13" i="9"/>
  <c r="G13" i="9"/>
  <c r="F13" i="9"/>
  <c r="E13" i="9"/>
  <c r="D13" i="9"/>
  <c r="AK12" i="9"/>
  <c r="V12" i="9"/>
  <c r="U12" i="9"/>
  <c r="R12" i="9"/>
  <c r="Q12" i="9"/>
  <c r="J12" i="9"/>
  <c r="I12" i="9"/>
  <c r="G12" i="9"/>
  <c r="F12" i="9"/>
  <c r="E12" i="9"/>
  <c r="AK11" i="9"/>
  <c r="K11" i="9"/>
  <c r="J11" i="9"/>
  <c r="I11" i="9"/>
  <c r="H11" i="9"/>
  <c r="E11" i="9"/>
  <c r="D11" i="9"/>
  <c r="AK10" i="9"/>
  <c r="AG10" i="9"/>
  <c r="W10" i="9"/>
  <c r="V10" i="9"/>
  <c r="T10" i="9"/>
  <c r="K10" i="9"/>
  <c r="J10" i="9"/>
  <c r="I10" i="9"/>
  <c r="H10" i="9"/>
  <c r="E10" i="9"/>
  <c r="U10" i="9" s="1"/>
  <c r="AK9" i="9"/>
  <c r="G9" i="9"/>
  <c r="F9" i="9"/>
  <c r="E9" i="9"/>
  <c r="D9" i="9"/>
  <c r="AK8" i="9"/>
  <c r="AI8" i="9"/>
  <c r="AH8" i="9"/>
  <c r="AF8" i="9"/>
  <c r="K8" i="9"/>
  <c r="J8" i="9"/>
  <c r="I8" i="9"/>
  <c r="H8" i="9"/>
  <c r="G8" i="9"/>
  <c r="F8" i="9"/>
  <c r="E8" i="9"/>
  <c r="D8" i="9"/>
  <c r="AK7" i="9"/>
  <c r="F7" i="9"/>
  <c r="E7" i="9"/>
  <c r="D7" i="9"/>
  <c r="AK6" i="9"/>
  <c r="J6" i="9"/>
  <c r="I6" i="9"/>
  <c r="D6" i="9"/>
  <c r="AK5" i="9"/>
  <c r="G5" i="9"/>
  <c r="F5" i="9"/>
  <c r="E5" i="9"/>
  <c r="D5" i="9"/>
  <c r="AK4" i="9"/>
  <c r="J4" i="9"/>
  <c r="I4" i="9"/>
  <c r="G4" i="9"/>
  <c r="F4" i="9"/>
  <c r="E4" i="9"/>
  <c r="D4" i="9"/>
  <c r="AK3" i="9"/>
  <c r="G3" i="9"/>
  <c r="F3" i="9"/>
  <c r="E3" i="9"/>
  <c r="D3" i="9"/>
  <c r="AK2" i="9"/>
  <c r="AI2" i="9"/>
  <c r="AH2" i="9"/>
  <c r="AG2" i="9"/>
  <c r="AF2" i="9"/>
  <c r="K2" i="9"/>
  <c r="J2" i="9"/>
  <c r="I2" i="9"/>
  <c r="H2" i="9"/>
  <c r="G2" i="9"/>
  <c r="F2" i="9"/>
  <c r="E2" i="9"/>
  <c r="D2" i="9"/>
  <c r="AK73" i="7"/>
  <c r="AI73" i="7"/>
  <c r="AH73" i="7"/>
  <c r="I73" i="7"/>
  <c r="H73" i="7"/>
  <c r="G73" i="7"/>
  <c r="F73" i="7"/>
  <c r="D73" i="7"/>
  <c r="AK72" i="7"/>
  <c r="H72" i="7"/>
  <c r="G72" i="7"/>
  <c r="W72" i="7" s="1"/>
  <c r="F72" i="7"/>
  <c r="V72" i="7" s="1"/>
  <c r="E72" i="7"/>
  <c r="U72" i="7" s="1"/>
  <c r="D72" i="7"/>
  <c r="T72" i="7" s="1"/>
  <c r="AK71" i="7"/>
  <c r="AI71" i="7"/>
  <c r="AH71" i="7"/>
  <c r="AG71" i="7"/>
  <c r="AF71" i="7"/>
  <c r="G71" i="7"/>
  <c r="F71" i="7"/>
  <c r="E71" i="7"/>
  <c r="D71" i="7"/>
  <c r="AK70" i="7"/>
  <c r="K70" i="7"/>
  <c r="H70" i="7"/>
  <c r="G70" i="7"/>
  <c r="F70" i="7"/>
  <c r="E70" i="7"/>
  <c r="D70" i="7"/>
  <c r="AK69" i="7"/>
  <c r="AI69" i="7"/>
  <c r="AH69" i="7"/>
  <c r="AG69" i="7"/>
  <c r="AF69" i="7"/>
  <c r="G69" i="7"/>
  <c r="F69" i="7"/>
  <c r="E69" i="7"/>
  <c r="D69" i="7"/>
  <c r="AK68" i="7"/>
  <c r="AG68" i="7"/>
  <c r="AF68" i="7"/>
  <c r="K68" i="7"/>
  <c r="J68" i="7"/>
  <c r="I68" i="7"/>
  <c r="H68" i="7"/>
  <c r="G68" i="7"/>
  <c r="F68" i="7"/>
  <c r="E68" i="7"/>
  <c r="D68" i="7"/>
  <c r="AK67" i="7"/>
  <c r="W67" i="7"/>
  <c r="V67" i="7"/>
  <c r="U67" i="7"/>
  <c r="T67" i="7"/>
  <c r="S67" i="7"/>
  <c r="R67" i="7"/>
  <c r="Q67" i="7"/>
  <c r="P67" i="7"/>
  <c r="J67" i="7"/>
  <c r="I67" i="7"/>
  <c r="H67" i="7"/>
  <c r="D67" i="7"/>
  <c r="AK66" i="7"/>
  <c r="K66" i="7"/>
  <c r="J66" i="7"/>
  <c r="F66" i="7"/>
  <c r="E66" i="7"/>
  <c r="D66" i="7"/>
  <c r="AK65" i="7"/>
  <c r="AI65" i="7"/>
  <c r="AH65" i="7"/>
  <c r="AG65" i="7"/>
  <c r="AF65" i="7"/>
  <c r="AE65" i="7"/>
  <c r="AD65" i="7"/>
  <c r="AC65" i="7"/>
  <c r="AB65" i="7"/>
  <c r="K65" i="7"/>
  <c r="J65" i="7"/>
  <c r="H65" i="7"/>
  <c r="G65" i="7"/>
  <c r="F65" i="7"/>
  <c r="E65" i="7"/>
  <c r="D65" i="7"/>
  <c r="AK64" i="7"/>
  <c r="AH64" i="7"/>
  <c r="AG64" i="7"/>
  <c r="AF64" i="7"/>
  <c r="G64" i="7"/>
  <c r="F64" i="7"/>
  <c r="E64" i="7"/>
  <c r="D64" i="7"/>
  <c r="AK63" i="7"/>
  <c r="AI63" i="7"/>
  <c r="AH63" i="7"/>
  <c r="G63" i="7"/>
  <c r="F63" i="7"/>
  <c r="E63" i="7"/>
  <c r="D63" i="7"/>
  <c r="AK62" i="7"/>
  <c r="AK61" i="7"/>
  <c r="W61" i="7"/>
  <c r="V61" i="7"/>
  <c r="U61" i="7"/>
  <c r="T61" i="7"/>
  <c r="K61" i="7"/>
  <c r="J61" i="7"/>
  <c r="I61" i="7"/>
  <c r="H61" i="7"/>
  <c r="G61" i="7"/>
  <c r="F61" i="7"/>
  <c r="E61" i="7"/>
  <c r="D61" i="7"/>
  <c r="AK60" i="7"/>
  <c r="AF60" i="7"/>
  <c r="V60" i="7"/>
  <c r="U60" i="7"/>
  <c r="T60" i="7"/>
  <c r="AK59" i="7"/>
  <c r="AI59" i="7"/>
  <c r="AH59" i="7"/>
  <c r="AG59" i="7"/>
  <c r="AF59" i="7"/>
  <c r="G59" i="7"/>
  <c r="F59" i="7"/>
  <c r="E59" i="7"/>
  <c r="D59" i="7"/>
  <c r="AK58" i="7"/>
  <c r="AI58" i="7"/>
  <c r="AH58" i="7"/>
  <c r="G58" i="7"/>
  <c r="F58" i="7"/>
  <c r="E58" i="7"/>
  <c r="D58" i="7"/>
  <c r="AK57" i="7"/>
  <c r="W57" i="7"/>
  <c r="V57" i="7"/>
  <c r="U57" i="7"/>
  <c r="T57" i="7"/>
  <c r="G57" i="7"/>
  <c r="F57" i="7"/>
  <c r="E57" i="7"/>
  <c r="D57" i="7"/>
  <c r="AK56" i="7"/>
  <c r="G56" i="7"/>
  <c r="F56" i="7"/>
  <c r="E56" i="7"/>
  <c r="D56" i="7"/>
  <c r="AK55" i="7"/>
  <c r="AI55" i="7"/>
  <c r="AH55" i="7"/>
  <c r="AG55" i="7"/>
  <c r="AF55" i="7"/>
  <c r="W55" i="7"/>
  <c r="V55" i="7"/>
  <c r="U55" i="7"/>
  <c r="T55" i="7"/>
  <c r="P55" i="7"/>
  <c r="G55" i="7"/>
  <c r="F55" i="7"/>
  <c r="E55" i="7"/>
  <c r="D55" i="7"/>
  <c r="AK54" i="7"/>
  <c r="K54" i="7"/>
  <c r="J54" i="7"/>
  <c r="I54" i="7"/>
  <c r="G54" i="7"/>
  <c r="F54" i="7"/>
  <c r="AK53" i="7"/>
  <c r="G53" i="7"/>
  <c r="F53" i="7"/>
  <c r="E53" i="7"/>
  <c r="D53" i="7"/>
  <c r="AK52" i="7"/>
  <c r="G52" i="7"/>
  <c r="F52" i="7"/>
  <c r="E52" i="7"/>
  <c r="D52" i="7"/>
  <c r="AK51" i="7"/>
  <c r="AB51" i="7"/>
  <c r="G51" i="7"/>
  <c r="F51" i="7"/>
  <c r="E51" i="7"/>
  <c r="D51" i="7"/>
  <c r="AK50" i="7"/>
  <c r="H50" i="7"/>
  <c r="G50" i="7"/>
  <c r="F50" i="7"/>
  <c r="E50" i="7"/>
  <c r="D50" i="7"/>
  <c r="AK49" i="7"/>
  <c r="AG49" i="7"/>
  <c r="AF49" i="7"/>
  <c r="K49" i="7"/>
  <c r="J49" i="7"/>
  <c r="I49" i="7"/>
  <c r="H49" i="7"/>
  <c r="G49" i="7"/>
  <c r="F49" i="7"/>
  <c r="E49" i="7"/>
  <c r="D49" i="7"/>
  <c r="AK48" i="7"/>
  <c r="AB48" i="7"/>
  <c r="W48" i="7"/>
  <c r="V48" i="7"/>
  <c r="U48" i="7"/>
  <c r="T48" i="7"/>
  <c r="G48" i="7"/>
  <c r="S48" i="7" s="1"/>
  <c r="F48" i="7"/>
  <c r="R48" i="7" s="1"/>
  <c r="E48" i="7"/>
  <c r="Q48" i="7" s="1"/>
  <c r="D48" i="7"/>
  <c r="P48" i="7" s="1"/>
  <c r="AK47" i="7"/>
  <c r="AI47" i="7"/>
  <c r="AH47" i="7"/>
  <c r="W47" i="7"/>
  <c r="V47" i="7"/>
  <c r="U47" i="7"/>
  <c r="T47" i="7"/>
  <c r="R47" i="7"/>
  <c r="P47" i="7"/>
  <c r="G47" i="7"/>
  <c r="F47" i="7"/>
  <c r="E47" i="7"/>
  <c r="D47" i="7"/>
  <c r="AK46" i="7"/>
  <c r="AI46" i="7"/>
  <c r="AH46" i="7"/>
  <c r="AG46" i="7"/>
  <c r="AF46" i="7"/>
  <c r="V46" i="7"/>
  <c r="U46" i="7"/>
  <c r="T46" i="7"/>
  <c r="J46" i="7"/>
  <c r="I46" i="7"/>
  <c r="H46" i="7"/>
  <c r="F46" i="7"/>
  <c r="E46" i="7"/>
  <c r="D46" i="7"/>
  <c r="AK45" i="7"/>
  <c r="AD45" i="7"/>
  <c r="H45" i="7"/>
  <c r="G45" i="7"/>
  <c r="F45" i="7"/>
  <c r="E45" i="7"/>
  <c r="D45" i="7"/>
  <c r="AK44" i="7"/>
  <c r="G44" i="7"/>
  <c r="F44" i="7"/>
  <c r="E44" i="7"/>
  <c r="D44" i="7"/>
  <c r="AK43" i="7"/>
  <c r="AI43" i="7"/>
  <c r="AH43" i="7"/>
  <c r="G43" i="7"/>
  <c r="F43" i="7"/>
  <c r="E43" i="7"/>
  <c r="D43" i="7"/>
  <c r="AK42" i="7"/>
  <c r="AI42" i="7"/>
  <c r="AH42" i="7"/>
  <c r="AG42" i="7"/>
  <c r="AF42" i="7"/>
  <c r="U42" i="7"/>
  <c r="T42" i="7"/>
  <c r="Q42" i="7"/>
  <c r="P42" i="7"/>
  <c r="H42" i="7"/>
  <c r="G42" i="7"/>
  <c r="F42" i="7"/>
  <c r="E42" i="7"/>
  <c r="D42" i="7"/>
  <c r="AK41" i="7"/>
  <c r="AI41" i="7"/>
  <c r="AH41" i="7"/>
  <c r="AG41" i="7"/>
  <c r="AF41" i="7"/>
  <c r="W41" i="7"/>
  <c r="V41" i="7"/>
  <c r="U41" i="7"/>
  <c r="T41" i="7"/>
  <c r="G41" i="7"/>
  <c r="F41" i="7"/>
  <c r="E41" i="7"/>
  <c r="D41" i="7"/>
  <c r="AK40" i="7"/>
  <c r="AI40" i="7"/>
  <c r="AH40" i="7"/>
  <c r="AG40" i="7"/>
  <c r="AF40" i="7"/>
  <c r="N40" i="7"/>
  <c r="M40" i="7"/>
  <c r="L40" i="7"/>
  <c r="G40" i="7"/>
  <c r="F40" i="7"/>
  <c r="E40" i="7"/>
  <c r="D40" i="7"/>
  <c r="AK39" i="7"/>
  <c r="K39" i="7"/>
  <c r="J39" i="7"/>
  <c r="I39" i="7"/>
  <c r="H39" i="7"/>
  <c r="F39" i="7"/>
  <c r="E39" i="7"/>
  <c r="D39" i="7"/>
  <c r="AK38" i="7"/>
  <c r="AG38" i="7"/>
  <c r="AF38" i="7"/>
  <c r="W38" i="7"/>
  <c r="V38" i="7"/>
  <c r="U38" i="7"/>
  <c r="T38" i="7"/>
  <c r="I38" i="7"/>
  <c r="H38" i="7"/>
  <c r="G38" i="7"/>
  <c r="F38" i="7"/>
  <c r="E38" i="7"/>
  <c r="D38" i="7"/>
  <c r="AK37" i="7"/>
  <c r="W37" i="7"/>
  <c r="V37" i="7"/>
  <c r="T37" i="7"/>
  <c r="Q37" i="7"/>
  <c r="P37" i="7"/>
  <c r="G37" i="7"/>
  <c r="F37" i="7"/>
  <c r="D37" i="7"/>
  <c r="AK36" i="7"/>
  <c r="W36" i="7"/>
  <c r="V36" i="7"/>
  <c r="U36" i="7"/>
  <c r="T36" i="7"/>
  <c r="K36" i="7"/>
  <c r="J36" i="7"/>
  <c r="I36" i="7"/>
  <c r="H36" i="7"/>
  <c r="G36" i="7"/>
  <c r="F36" i="7"/>
  <c r="E36" i="7"/>
  <c r="D36" i="7"/>
  <c r="AK35" i="7"/>
  <c r="G35" i="7"/>
  <c r="F35" i="7"/>
  <c r="E35" i="7"/>
  <c r="D35" i="7"/>
  <c r="AK34" i="7"/>
  <c r="I34" i="7"/>
  <c r="H34" i="7"/>
  <c r="F34" i="7"/>
  <c r="E34" i="7"/>
  <c r="D34" i="7"/>
  <c r="AK33" i="7"/>
  <c r="AH33" i="7"/>
  <c r="AG33" i="7"/>
  <c r="AF33" i="7"/>
  <c r="Q33" i="7"/>
  <c r="P33" i="7"/>
  <c r="G33" i="7"/>
  <c r="F33" i="7"/>
  <c r="E33" i="7"/>
  <c r="D33" i="7"/>
  <c r="AK32" i="7"/>
  <c r="AI32" i="7"/>
  <c r="AH32" i="7"/>
  <c r="AG32" i="7"/>
  <c r="AF32" i="7"/>
  <c r="G32" i="7"/>
  <c r="F32" i="7"/>
  <c r="E32" i="7"/>
  <c r="D32" i="7"/>
  <c r="AK31" i="7"/>
  <c r="K31" i="7"/>
  <c r="J31" i="7"/>
  <c r="I31" i="7"/>
  <c r="G31" i="7"/>
  <c r="F31" i="7"/>
  <c r="E31" i="7"/>
  <c r="D31" i="7"/>
  <c r="AK30" i="7"/>
  <c r="G30" i="7"/>
  <c r="F30" i="7"/>
  <c r="E30" i="7"/>
  <c r="D30" i="7"/>
  <c r="AK29" i="7"/>
  <c r="G29" i="7"/>
  <c r="F29" i="7"/>
  <c r="E29" i="7"/>
  <c r="D29" i="7"/>
  <c r="AK28" i="7"/>
  <c r="AI28" i="7"/>
  <c r="AH28" i="7"/>
  <c r="AG28" i="7"/>
  <c r="AF28" i="7"/>
  <c r="F28" i="7"/>
  <c r="D28" i="7"/>
  <c r="AK27" i="7"/>
  <c r="K27" i="7"/>
  <c r="G27" i="7"/>
  <c r="F27" i="7"/>
  <c r="E27" i="7"/>
  <c r="D27" i="7"/>
  <c r="AK26" i="7"/>
  <c r="F26" i="7"/>
  <c r="E26" i="7"/>
  <c r="D26" i="7"/>
  <c r="AK25" i="7"/>
  <c r="AG25" i="7"/>
  <c r="AF25" i="7"/>
  <c r="K25" i="7"/>
  <c r="J25" i="7"/>
  <c r="I25" i="7"/>
  <c r="H25" i="7"/>
  <c r="G25" i="7"/>
  <c r="F25" i="7"/>
  <c r="E25" i="7"/>
  <c r="D25" i="7"/>
  <c r="AK24" i="7"/>
  <c r="G24" i="7"/>
  <c r="F24" i="7"/>
  <c r="E24" i="7"/>
  <c r="D24" i="7"/>
  <c r="AK23" i="7"/>
  <c r="K23" i="7"/>
  <c r="J23" i="7"/>
  <c r="I23" i="7"/>
  <c r="H23" i="7"/>
  <c r="G23" i="7"/>
  <c r="F23" i="7"/>
  <c r="E23" i="7"/>
  <c r="D23" i="7"/>
  <c r="AK22" i="7"/>
  <c r="AB22" i="7"/>
  <c r="G22" i="7"/>
  <c r="F22" i="7"/>
  <c r="E22" i="7"/>
  <c r="D22" i="7"/>
  <c r="AK21" i="7"/>
  <c r="G21" i="7"/>
  <c r="F21" i="7"/>
  <c r="E21" i="7"/>
  <c r="D21" i="7"/>
  <c r="AK20" i="7"/>
  <c r="G20" i="7"/>
  <c r="F20" i="7"/>
  <c r="E20" i="7"/>
  <c r="D20" i="7"/>
  <c r="AK19" i="7"/>
  <c r="W19" i="7"/>
  <c r="V19" i="7"/>
  <c r="U19" i="7"/>
  <c r="T19" i="7"/>
  <c r="K19" i="7"/>
  <c r="J19" i="7"/>
  <c r="I19" i="7"/>
  <c r="H19" i="7"/>
  <c r="D19" i="7"/>
  <c r="AK18" i="7"/>
  <c r="AI18" i="7"/>
  <c r="AH18" i="7"/>
  <c r="AG18" i="7"/>
  <c r="AF18" i="7"/>
  <c r="AA18" i="7"/>
  <c r="Z18" i="7"/>
  <c r="Y18" i="7"/>
  <c r="X18" i="7"/>
  <c r="AK17" i="7"/>
  <c r="D17" i="7"/>
  <c r="AK16" i="7"/>
  <c r="W16" i="7"/>
  <c r="V16" i="7"/>
  <c r="U16" i="7"/>
  <c r="T16" i="7"/>
  <c r="O16" i="7"/>
  <c r="N16" i="7"/>
  <c r="M16" i="7"/>
  <c r="L16" i="7"/>
  <c r="J16" i="7"/>
  <c r="I16" i="7"/>
  <c r="H16" i="7"/>
  <c r="E16" i="7"/>
  <c r="D16" i="7"/>
  <c r="AK15" i="7"/>
  <c r="AG15" i="7"/>
  <c r="AF15" i="7"/>
  <c r="G15" i="7"/>
  <c r="F15" i="7"/>
  <c r="E15" i="7"/>
  <c r="D15" i="7"/>
  <c r="AK14" i="7"/>
  <c r="F14" i="7"/>
  <c r="D14" i="7"/>
  <c r="AK13" i="7"/>
  <c r="AI13" i="7"/>
  <c r="AH13" i="7"/>
  <c r="W13" i="7"/>
  <c r="V13" i="7"/>
  <c r="U13" i="7"/>
  <c r="T13" i="7"/>
  <c r="R13" i="7"/>
  <c r="P13" i="7"/>
  <c r="K13" i="7"/>
  <c r="J13" i="7"/>
  <c r="I13" i="7"/>
  <c r="H13" i="7"/>
  <c r="G13" i="7"/>
  <c r="F13" i="7"/>
  <c r="E13" i="7"/>
  <c r="D13" i="7"/>
  <c r="AK12" i="7"/>
  <c r="AI12" i="7"/>
  <c r="AH12" i="7"/>
  <c r="AG12" i="7"/>
  <c r="G12" i="7"/>
  <c r="F12" i="7"/>
  <c r="E12" i="7"/>
  <c r="D12" i="7"/>
  <c r="AK11" i="7"/>
  <c r="K11" i="7"/>
  <c r="J11" i="7"/>
  <c r="I11" i="7"/>
  <c r="H11" i="7"/>
  <c r="E11" i="7"/>
  <c r="D11" i="7"/>
  <c r="AK10" i="7"/>
  <c r="AG10" i="7"/>
  <c r="W10" i="7"/>
  <c r="V10" i="7"/>
  <c r="T10" i="7"/>
  <c r="K10" i="7"/>
  <c r="J10" i="7"/>
  <c r="I10" i="7"/>
  <c r="H10" i="7"/>
  <c r="E10" i="7"/>
  <c r="U10" i="7" s="1"/>
  <c r="AK9" i="7"/>
  <c r="G9" i="7"/>
  <c r="F9" i="7"/>
  <c r="E9" i="7"/>
  <c r="D9" i="7"/>
  <c r="AK8" i="7"/>
  <c r="AI8" i="7"/>
  <c r="AH8" i="7"/>
  <c r="AF8" i="7"/>
  <c r="K8" i="7"/>
  <c r="J8" i="7"/>
  <c r="I8" i="7"/>
  <c r="H8" i="7"/>
  <c r="G8" i="7"/>
  <c r="F8" i="7"/>
  <c r="E8" i="7"/>
  <c r="D8" i="7"/>
  <c r="AK7" i="7"/>
  <c r="F7" i="7"/>
  <c r="E7" i="7"/>
  <c r="D7" i="7"/>
  <c r="AK6" i="7"/>
  <c r="J6" i="7"/>
  <c r="I6" i="7"/>
  <c r="D6" i="7"/>
  <c r="AK5" i="7"/>
  <c r="G5" i="7"/>
  <c r="F5" i="7"/>
  <c r="E5" i="7"/>
  <c r="D5" i="7"/>
  <c r="AK4" i="7"/>
  <c r="J4" i="7"/>
  <c r="I4" i="7"/>
  <c r="G4" i="7"/>
  <c r="F4" i="7"/>
  <c r="E4" i="7"/>
  <c r="D4" i="7"/>
  <c r="AK3" i="7"/>
  <c r="G3" i="7"/>
  <c r="F3" i="7"/>
  <c r="E3" i="7"/>
  <c r="D3" i="7"/>
  <c r="AK2" i="7"/>
  <c r="AI2" i="7"/>
  <c r="AH2" i="7"/>
  <c r="AG2" i="7"/>
  <c r="AF2" i="7"/>
  <c r="K2" i="7"/>
  <c r="J2" i="7"/>
  <c r="I2" i="7"/>
  <c r="H2" i="7"/>
  <c r="G2" i="7"/>
  <c r="F2" i="7"/>
  <c r="E2" i="7"/>
  <c r="D2" i="7"/>
  <c r="V3" i="6"/>
  <c r="V4" i="6"/>
  <c r="V6" i="6"/>
  <c r="V7" i="6"/>
  <c r="V8" i="6"/>
  <c r="V11" i="6"/>
  <c r="V12" i="6"/>
  <c r="V13" i="6"/>
  <c r="V14" i="6"/>
  <c r="V16" i="6"/>
  <c r="V17" i="6"/>
  <c r="V18" i="6"/>
  <c r="V19" i="6"/>
  <c r="V20" i="6"/>
  <c r="V21" i="6"/>
  <c r="V22" i="6"/>
  <c r="V24" i="6"/>
  <c r="V25" i="6"/>
  <c r="V26" i="6"/>
  <c r="V29" i="6"/>
  <c r="V30" i="6"/>
  <c r="V31" i="6"/>
  <c r="V32" i="6"/>
  <c r="V33" i="6"/>
  <c r="V34" i="6"/>
  <c r="V39" i="6"/>
  <c r="V40" i="6"/>
  <c r="V43" i="6"/>
  <c r="V44" i="6"/>
  <c r="V45" i="6"/>
  <c r="V46" i="6"/>
  <c r="V47" i="6"/>
  <c r="V48" i="6"/>
  <c r="V49" i="6"/>
  <c r="V51" i="6"/>
  <c r="V52" i="6"/>
  <c r="V55" i="6"/>
  <c r="V56" i="6"/>
  <c r="V57" i="6"/>
  <c r="V61" i="6"/>
  <c r="V62" i="6"/>
  <c r="V63" i="6"/>
  <c r="V66" i="6"/>
  <c r="U3" i="6"/>
  <c r="U4" i="6"/>
  <c r="U6" i="6"/>
  <c r="U8" i="6"/>
  <c r="U11" i="6"/>
  <c r="U13" i="6"/>
  <c r="U14" i="6"/>
  <c r="U16" i="6"/>
  <c r="U17" i="6"/>
  <c r="U18" i="6"/>
  <c r="U19" i="6"/>
  <c r="U20" i="6"/>
  <c r="U22" i="6"/>
  <c r="U24" i="6"/>
  <c r="U25" i="6"/>
  <c r="U26" i="6"/>
  <c r="U29" i="6"/>
  <c r="U30" i="6"/>
  <c r="U31" i="6"/>
  <c r="U32" i="6"/>
  <c r="U33" i="6"/>
  <c r="U34" i="6"/>
  <c r="U39" i="6"/>
  <c r="U40" i="6"/>
  <c r="U42" i="6"/>
  <c r="U43" i="6"/>
  <c r="U45" i="6"/>
  <c r="U46" i="6"/>
  <c r="U47" i="6"/>
  <c r="U48" i="6"/>
  <c r="U49" i="6"/>
  <c r="U51" i="6"/>
  <c r="U52" i="6"/>
  <c r="U55" i="6"/>
  <c r="U56" i="6"/>
  <c r="U57" i="6"/>
  <c r="U61" i="6"/>
  <c r="U62" i="6"/>
  <c r="U66" i="6"/>
  <c r="T3" i="6"/>
  <c r="T4" i="6"/>
  <c r="T6" i="6"/>
  <c r="T8" i="6"/>
  <c r="W8" i="6" s="1"/>
  <c r="T10" i="6"/>
  <c r="T11" i="6"/>
  <c r="T13" i="6"/>
  <c r="W13" i="6" s="1"/>
  <c r="T14" i="6"/>
  <c r="T16" i="6"/>
  <c r="W16" i="6" s="1"/>
  <c r="T17" i="6"/>
  <c r="T18" i="6"/>
  <c r="W18" i="6" s="1"/>
  <c r="T19" i="6"/>
  <c r="T20" i="6"/>
  <c r="W20" i="6" s="1"/>
  <c r="T22" i="6"/>
  <c r="T24" i="6"/>
  <c r="T25" i="6"/>
  <c r="T26" i="6"/>
  <c r="W26" i="6" s="1"/>
  <c r="T29" i="6"/>
  <c r="T30" i="6"/>
  <c r="W30" i="6" s="1"/>
  <c r="T31" i="6"/>
  <c r="T32" i="6"/>
  <c r="W32" i="6" s="1"/>
  <c r="T34" i="6"/>
  <c r="T38" i="6"/>
  <c r="T39" i="6"/>
  <c r="T40" i="6"/>
  <c r="T42" i="6"/>
  <c r="T43" i="6"/>
  <c r="W43" i="6" s="1"/>
  <c r="T45" i="6"/>
  <c r="W45" i="6" s="1"/>
  <c r="T46" i="6"/>
  <c r="W46" i="6" s="1"/>
  <c r="T47" i="6"/>
  <c r="W47" i="6" s="1"/>
  <c r="T48" i="6"/>
  <c r="T49" i="6"/>
  <c r="W49" i="6" s="1"/>
  <c r="T51" i="6"/>
  <c r="T52" i="6"/>
  <c r="T53" i="6"/>
  <c r="T56" i="6"/>
  <c r="T57" i="6"/>
  <c r="W57" i="6" s="1"/>
  <c r="T58" i="6"/>
  <c r="T61" i="6"/>
  <c r="W61" i="6" s="1"/>
  <c r="T62" i="6"/>
  <c r="T63" i="6"/>
  <c r="W63" i="6" s="1"/>
  <c r="T66" i="6"/>
  <c r="T67" i="6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1" i="6"/>
  <c r="Q62" i="6"/>
  <c r="Q63" i="6"/>
  <c r="Q64" i="6"/>
  <c r="Q65" i="6"/>
  <c r="Q66" i="6"/>
  <c r="Q67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1" i="6"/>
  <c r="P42" i="6"/>
  <c r="P43" i="6"/>
  <c r="P44" i="6"/>
  <c r="P45" i="6"/>
  <c r="P46" i="6"/>
  <c r="P47" i="6"/>
  <c r="P48" i="6"/>
  <c r="R48" i="6" s="1"/>
  <c r="P49" i="6"/>
  <c r="P50" i="6"/>
  <c r="P51" i="6"/>
  <c r="P52" i="6"/>
  <c r="P53" i="6"/>
  <c r="P54" i="6"/>
  <c r="P55" i="6"/>
  <c r="P56" i="6"/>
  <c r="P57" i="6"/>
  <c r="P58" i="6"/>
  <c r="P59" i="6"/>
  <c r="P61" i="6"/>
  <c r="P62" i="6"/>
  <c r="P63" i="6"/>
  <c r="P64" i="6"/>
  <c r="P65" i="6"/>
  <c r="P66" i="6"/>
  <c r="P67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9" i="6"/>
  <c r="O20" i="6"/>
  <c r="O21" i="6"/>
  <c r="R21" i="6" s="1"/>
  <c r="O22" i="6"/>
  <c r="O23" i="6"/>
  <c r="O24" i="6"/>
  <c r="R24" i="6" s="1"/>
  <c r="O25" i="6"/>
  <c r="R25" i="6" s="1"/>
  <c r="O26" i="6"/>
  <c r="O27" i="6"/>
  <c r="O28" i="6"/>
  <c r="R28" i="6" s="1"/>
  <c r="O29" i="6"/>
  <c r="R29" i="6" s="1"/>
  <c r="O30" i="6"/>
  <c r="O31" i="6"/>
  <c r="O32" i="6"/>
  <c r="R32" i="6" s="1"/>
  <c r="O33" i="6"/>
  <c r="R33" i="6" s="1"/>
  <c r="O34" i="6"/>
  <c r="O35" i="6"/>
  <c r="O36" i="6"/>
  <c r="R36" i="6" s="1"/>
  <c r="O37" i="6"/>
  <c r="R37" i="6" s="1"/>
  <c r="O38" i="6"/>
  <c r="O39" i="6"/>
  <c r="O40" i="6"/>
  <c r="O41" i="6"/>
  <c r="R41" i="6" s="1"/>
  <c r="O42" i="6"/>
  <c r="R42" i="6" s="1"/>
  <c r="O44" i="6"/>
  <c r="O45" i="6"/>
  <c r="R45" i="6" s="1"/>
  <c r="O47" i="6"/>
  <c r="R47" i="6" s="1"/>
  <c r="O48" i="6"/>
  <c r="O49" i="6"/>
  <c r="R49" i="6" s="1"/>
  <c r="O50" i="6"/>
  <c r="R50" i="6" s="1"/>
  <c r="O51" i="6"/>
  <c r="R51" i="6" s="1"/>
  <c r="O52" i="6"/>
  <c r="O53" i="6"/>
  <c r="R53" i="6" s="1"/>
  <c r="O54" i="6"/>
  <c r="R54" i="6" s="1"/>
  <c r="O55" i="6"/>
  <c r="R55" i="6" s="1"/>
  <c r="O56" i="6"/>
  <c r="O57" i="6"/>
  <c r="R57" i="6" s="1"/>
  <c r="O58" i="6"/>
  <c r="R58" i="6" s="1"/>
  <c r="O59" i="6"/>
  <c r="R59" i="6" s="1"/>
  <c r="O61" i="6"/>
  <c r="O62" i="6"/>
  <c r="R62" i="6" s="1"/>
  <c r="O63" i="6"/>
  <c r="R63" i="6" s="1"/>
  <c r="O64" i="6"/>
  <c r="R64" i="6" s="1"/>
  <c r="O65" i="6"/>
  <c r="O66" i="6"/>
  <c r="R66" i="6" s="1"/>
  <c r="O67" i="6"/>
  <c r="R67" i="6" s="1"/>
  <c r="P2" i="6"/>
  <c r="Q2" i="6"/>
  <c r="O2" i="6"/>
  <c r="AB67" i="6"/>
  <c r="M67" i="6"/>
  <c r="L67" i="6"/>
  <c r="U67" i="6" s="1"/>
  <c r="AB66" i="6"/>
  <c r="AB65" i="6"/>
  <c r="M65" i="6"/>
  <c r="L65" i="6"/>
  <c r="K65" i="6"/>
  <c r="J65" i="6"/>
  <c r="AB64" i="6"/>
  <c r="M64" i="6"/>
  <c r="L64" i="6"/>
  <c r="U64" i="6" s="1"/>
  <c r="K64" i="6"/>
  <c r="J64" i="6"/>
  <c r="AB63" i="6"/>
  <c r="K63" i="6"/>
  <c r="U63" i="6" s="1"/>
  <c r="J63" i="6"/>
  <c r="AB62" i="6"/>
  <c r="AB61" i="6"/>
  <c r="AB60" i="6"/>
  <c r="M60" i="6"/>
  <c r="L60" i="6"/>
  <c r="U60" i="6" s="1"/>
  <c r="K60" i="6"/>
  <c r="J60" i="6"/>
  <c r="I60" i="6"/>
  <c r="H60" i="6"/>
  <c r="G60" i="6"/>
  <c r="G68" i="6" s="1"/>
  <c r="F60" i="6"/>
  <c r="AB59" i="6"/>
  <c r="L59" i="6"/>
  <c r="K59" i="6"/>
  <c r="J59" i="6"/>
  <c r="AB58" i="6"/>
  <c r="M58" i="6"/>
  <c r="L58" i="6"/>
  <c r="U58" i="6" s="1"/>
  <c r="AB57" i="6"/>
  <c r="AB56" i="6"/>
  <c r="AB55" i="6"/>
  <c r="J55" i="6"/>
  <c r="T55" i="6" s="1"/>
  <c r="AB54" i="6"/>
  <c r="M54" i="6"/>
  <c r="L54" i="6"/>
  <c r="K54" i="6"/>
  <c r="J54" i="6"/>
  <c r="AB53" i="6"/>
  <c r="M53" i="6"/>
  <c r="L53" i="6"/>
  <c r="U53" i="6" s="1"/>
  <c r="AB52" i="6"/>
  <c r="AB51" i="6"/>
  <c r="AB50" i="6"/>
  <c r="M50" i="6"/>
  <c r="L50" i="6"/>
  <c r="U50" i="6" s="1"/>
  <c r="K50" i="6"/>
  <c r="T50" i="6" s="1"/>
  <c r="J50" i="6"/>
  <c r="AB49" i="6"/>
  <c r="AB48" i="6"/>
  <c r="AB47" i="6"/>
  <c r="AB46" i="6"/>
  <c r="F46" i="6"/>
  <c r="O46" i="6" s="1"/>
  <c r="R46" i="6" s="1"/>
  <c r="AB45" i="6"/>
  <c r="AB44" i="6"/>
  <c r="K44" i="6"/>
  <c r="J44" i="6"/>
  <c r="AB43" i="6"/>
  <c r="F43" i="6"/>
  <c r="O43" i="6" s="1"/>
  <c r="AB42" i="6"/>
  <c r="M42" i="6"/>
  <c r="L42" i="6"/>
  <c r="AB41" i="6"/>
  <c r="M41" i="6"/>
  <c r="L41" i="6"/>
  <c r="K41" i="6"/>
  <c r="T41" i="6" s="1"/>
  <c r="J41" i="6"/>
  <c r="AB40" i="6"/>
  <c r="H40" i="6"/>
  <c r="AB39" i="6"/>
  <c r="AB38" i="6"/>
  <c r="M38" i="6"/>
  <c r="L38" i="6"/>
  <c r="U38" i="6" s="1"/>
  <c r="AB37" i="6"/>
  <c r="M37" i="6"/>
  <c r="L37" i="6"/>
  <c r="U37" i="6" s="1"/>
  <c r="K37" i="6"/>
  <c r="J37" i="6"/>
  <c r="AB36" i="6"/>
  <c r="M36" i="6"/>
  <c r="L36" i="6"/>
  <c r="K36" i="6"/>
  <c r="J36" i="6"/>
  <c r="AB35" i="6"/>
  <c r="M35" i="6"/>
  <c r="L35" i="6"/>
  <c r="K35" i="6"/>
  <c r="J35" i="6"/>
  <c r="AB34" i="6"/>
  <c r="AB33" i="6"/>
  <c r="K33" i="6"/>
  <c r="J33" i="6"/>
  <c r="AB32" i="6"/>
  <c r="AB31" i="6"/>
  <c r="AB30" i="6"/>
  <c r="AB29" i="6"/>
  <c r="AB28" i="6"/>
  <c r="L28" i="6"/>
  <c r="V28" i="6" s="1"/>
  <c r="K28" i="6"/>
  <c r="J28" i="6"/>
  <c r="AB27" i="6"/>
  <c r="M27" i="6"/>
  <c r="L27" i="6"/>
  <c r="K27" i="6"/>
  <c r="J27" i="6"/>
  <c r="AB26" i="6"/>
  <c r="AB25" i="6"/>
  <c r="AB24" i="6"/>
  <c r="AB23" i="6"/>
  <c r="M23" i="6"/>
  <c r="L23" i="6"/>
  <c r="K23" i="6"/>
  <c r="J23" i="6"/>
  <c r="AB22" i="6"/>
  <c r="AB21" i="6"/>
  <c r="K21" i="6"/>
  <c r="U21" i="6" s="1"/>
  <c r="J21" i="6"/>
  <c r="AB20" i="6"/>
  <c r="AB19" i="6"/>
  <c r="AB18" i="6"/>
  <c r="F18" i="6"/>
  <c r="O18" i="6" s="1"/>
  <c r="AB17" i="6"/>
  <c r="AB16" i="6"/>
  <c r="AB15" i="6"/>
  <c r="M15" i="6"/>
  <c r="V15" i="6" s="1"/>
  <c r="L15" i="6"/>
  <c r="K15" i="6"/>
  <c r="T15" i="6" s="1"/>
  <c r="J15" i="6"/>
  <c r="E15" i="6"/>
  <c r="D15" i="6"/>
  <c r="C15" i="6"/>
  <c r="B15" i="6"/>
  <c r="AB14" i="6"/>
  <c r="AB13" i="6"/>
  <c r="AB12" i="6"/>
  <c r="K12" i="6"/>
  <c r="J12" i="6"/>
  <c r="AB11" i="6"/>
  <c r="AB10" i="6"/>
  <c r="M10" i="6"/>
  <c r="L10" i="6"/>
  <c r="U10" i="6" s="1"/>
  <c r="AB9" i="6"/>
  <c r="M9" i="6"/>
  <c r="L9" i="6"/>
  <c r="U9" i="6" s="1"/>
  <c r="K9" i="6"/>
  <c r="T9" i="6" s="1"/>
  <c r="AB8" i="6"/>
  <c r="AB7" i="6"/>
  <c r="K7" i="6"/>
  <c r="U7" i="6" s="1"/>
  <c r="AB6" i="6"/>
  <c r="AB5" i="6"/>
  <c r="M5" i="6"/>
  <c r="L5" i="6"/>
  <c r="U5" i="6" s="1"/>
  <c r="J5" i="6"/>
  <c r="T5" i="6" s="1"/>
  <c r="AB4" i="6"/>
  <c r="AB3" i="6"/>
  <c r="AB2" i="6"/>
  <c r="M2" i="6"/>
  <c r="L2" i="6"/>
  <c r="K2" i="6"/>
  <c r="J2" i="6"/>
  <c r="J68" i="6" s="1"/>
  <c r="W82" i="1"/>
  <c r="V82" i="1"/>
  <c r="U82" i="1"/>
  <c r="T82" i="1"/>
  <c r="G82" i="1"/>
  <c r="F82" i="1"/>
  <c r="E82" i="1"/>
  <c r="D82" i="1"/>
  <c r="G79" i="1"/>
  <c r="F79" i="1"/>
  <c r="E79" i="1"/>
  <c r="D79" i="1"/>
  <c r="W75" i="1"/>
  <c r="V75" i="1"/>
  <c r="U75" i="1"/>
  <c r="T75" i="1"/>
  <c r="G75" i="1"/>
  <c r="F75" i="1"/>
  <c r="E75" i="1"/>
  <c r="D75" i="1"/>
  <c r="I74" i="1"/>
  <c r="G72" i="1"/>
  <c r="F72" i="1"/>
  <c r="E72" i="1"/>
  <c r="D72" i="1"/>
  <c r="G71" i="1"/>
  <c r="E70" i="1"/>
  <c r="G65" i="1"/>
  <c r="F65" i="1"/>
  <c r="E65" i="1"/>
  <c r="D65" i="1"/>
  <c r="AI63" i="1"/>
  <c r="W63" i="1"/>
  <c r="G63" i="1"/>
  <c r="F63" i="1"/>
  <c r="E63" i="1"/>
  <c r="D63" i="1"/>
  <c r="AI61" i="1"/>
  <c r="F61" i="1"/>
  <c r="E61" i="1"/>
  <c r="D61" i="1"/>
  <c r="G60" i="1"/>
  <c r="F60" i="1"/>
  <c r="E60" i="1"/>
  <c r="D60" i="1"/>
  <c r="G55" i="1"/>
  <c r="F55" i="1"/>
  <c r="E55" i="1"/>
  <c r="D55" i="1"/>
  <c r="K54" i="1"/>
  <c r="F54" i="1"/>
  <c r="E54" i="1"/>
  <c r="D54" i="1"/>
  <c r="U53" i="1"/>
  <c r="T53" i="1"/>
  <c r="F53" i="1"/>
  <c r="E53" i="1"/>
  <c r="D53" i="1"/>
  <c r="W52" i="1"/>
  <c r="V52" i="1"/>
  <c r="G52" i="1"/>
  <c r="F52" i="1"/>
  <c r="W51" i="1"/>
  <c r="V51" i="1"/>
  <c r="U51" i="1"/>
  <c r="T51" i="1"/>
  <c r="G51" i="1"/>
  <c r="F51" i="1"/>
  <c r="E51" i="1"/>
  <c r="D51" i="1"/>
  <c r="E48" i="1"/>
  <c r="D48" i="1"/>
  <c r="K44" i="1"/>
  <c r="G44" i="1"/>
  <c r="G37" i="1"/>
  <c r="F37" i="1"/>
  <c r="E37" i="1"/>
  <c r="D37" i="1"/>
  <c r="F32" i="1"/>
  <c r="K32" i="1"/>
  <c r="G32" i="1"/>
  <c r="J32" i="1"/>
  <c r="I32" i="1"/>
  <c r="E32" i="1"/>
  <c r="H32" i="1"/>
  <c r="D32" i="1"/>
  <c r="L7" i="4"/>
  <c r="L8" i="4"/>
  <c r="L9" i="4"/>
  <c r="L10" i="4"/>
  <c r="L11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6" i="4"/>
  <c r="L5" i="4"/>
  <c r="L4" i="4"/>
  <c r="L3" i="4"/>
  <c r="L2" i="4"/>
  <c r="H6" i="4"/>
  <c r="I6" i="4"/>
  <c r="I10" i="4"/>
  <c r="I11" i="4"/>
  <c r="I16" i="4"/>
  <c r="H17" i="4"/>
  <c r="I17" i="4"/>
  <c r="G18" i="4"/>
  <c r="H18" i="4"/>
  <c r="I18" i="4"/>
  <c r="H19" i="4"/>
  <c r="I19" i="4"/>
  <c r="H52" i="4"/>
  <c r="G54" i="4"/>
  <c r="H54" i="4"/>
  <c r="I54" i="4"/>
  <c r="G60" i="4"/>
  <c r="H60" i="4"/>
  <c r="I60" i="4"/>
  <c r="G62" i="4"/>
  <c r="H62" i="4"/>
  <c r="I62" i="4"/>
  <c r="H67" i="4"/>
  <c r="I67" i="4"/>
  <c r="C13" i="4"/>
  <c r="E73" i="4"/>
  <c r="I73" i="4" s="1"/>
  <c r="D73" i="4"/>
  <c r="H73" i="4" s="1"/>
  <c r="B73" i="4"/>
  <c r="G73" i="4" s="1"/>
  <c r="E72" i="4"/>
  <c r="I72" i="4" s="1"/>
  <c r="D72" i="4"/>
  <c r="H72" i="4" s="1"/>
  <c r="C72" i="4"/>
  <c r="B72" i="4"/>
  <c r="E71" i="4"/>
  <c r="I71" i="4" s="1"/>
  <c r="D71" i="4"/>
  <c r="H71" i="4" s="1"/>
  <c r="C71" i="4"/>
  <c r="B71" i="4"/>
  <c r="E70" i="4"/>
  <c r="I70" i="4" s="1"/>
  <c r="D70" i="4"/>
  <c r="C70" i="4"/>
  <c r="B70" i="4"/>
  <c r="E69" i="4"/>
  <c r="I69" i="4" s="1"/>
  <c r="D69" i="4"/>
  <c r="H69" i="4" s="1"/>
  <c r="C69" i="4"/>
  <c r="B69" i="4"/>
  <c r="E68" i="4"/>
  <c r="I68" i="4" s="1"/>
  <c r="D68" i="4"/>
  <c r="C68" i="4"/>
  <c r="B68" i="4"/>
  <c r="B67" i="4"/>
  <c r="G67" i="4" s="1"/>
  <c r="D66" i="4"/>
  <c r="I66" i="4" s="1"/>
  <c r="C66" i="4"/>
  <c r="B66" i="4"/>
  <c r="E65" i="4"/>
  <c r="I65" i="4" s="1"/>
  <c r="D65" i="4"/>
  <c r="H65" i="4" s="1"/>
  <c r="C65" i="4"/>
  <c r="B65" i="4"/>
  <c r="E64" i="4"/>
  <c r="I64" i="4" s="1"/>
  <c r="D64" i="4"/>
  <c r="C64" i="4"/>
  <c r="B64" i="4"/>
  <c r="E63" i="4"/>
  <c r="I63" i="4" s="1"/>
  <c r="D63" i="4"/>
  <c r="H63" i="4" s="1"/>
  <c r="C63" i="4"/>
  <c r="B63" i="4"/>
  <c r="E61" i="4"/>
  <c r="I61" i="4" s="1"/>
  <c r="D61" i="4"/>
  <c r="H61" i="4" s="1"/>
  <c r="C61" i="4"/>
  <c r="B61" i="4"/>
  <c r="E59" i="4"/>
  <c r="I59" i="4" s="1"/>
  <c r="D59" i="4"/>
  <c r="C59" i="4"/>
  <c r="B59" i="4"/>
  <c r="E58" i="4"/>
  <c r="I58" i="4" s="1"/>
  <c r="D58" i="4"/>
  <c r="H58" i="4" s="1"/>
  <c r="C58" i="4"/>
  <c r="B58" i="4"/>
  <c r="E57" i="4"/>
  <c r="I57" i="4" s="1"/>
  <c r="D57" i="4"/>
  <c r="C57" i="4"/>
  <c r="B57" i="4"/>
  <c r="E56" i="4"/>
  <c r="I56" i="4" s="1"/>
  <c r="D56" i="4"/>
  <c r="H56" i="4" s="1"/>
  <c r="C56" i="4"/>
  <c r="B56" i="4"/>
  <c r="E55" i="4"/>
  <c r="I55" i="4" s="1"/>
  <c r="D55" i="4"/>
  <c r="C55" i="4"/>
  <c r="B55" i="4"/>
  <c r="E53" i="4"/>
  <c r="I53" i="4" s="1"/>
  <c r="D53" i="4"/>
  <c r="H53" i="4" s="1"/>
  <c r="C53" i="4"/>
  <c r="B53" i="4"/>
  <c r="E52" i="4"/>
  <c r="I52" i="4" s="1"/>
  <c r="D52" i="4"/>
  <c r="C52" i="4"/>
  <c r="B52" i="4"/>
  <c r="E51" i="4"/>
  <c r="I51" i="4" s="1"/>
  <c r="D51" i="4"/>
  <c r="H51" i="4" s="1"/>
  <c r="C51" i="4"/>
  <c r="B51" i="4"/>
  <c r="E50" i="4"/>
  <c r="I50" i="4" s="1"/>
  <c r="D50" i="4"/>
  <c r="H50" i="4" s="1"/>
  <c r="C50" i="4"/>
  <c r="B50" i="4"/>
  <c r="E49" i="4"/>
  <c r="I49" i="4" s="1"/>
  <c r="D49" i="4"/>
  <c r="H49" i="4" s="1"/>
  <c r="C49" i="4"/>
  <c r="B49" i="4"/>
  <c r="E48" i="4"/>
  <c r="I48" i="4" s="1"/>
  <c r="D48" i="4"/>
  <c r="H48" i="4" s="1"/>
  <c r="C48" i="4"/>
  <c r="B48" i="4"/>
  <c r="E47" i="4"/>
  <c r="I47" i="4" s="1"/>
  <c r="D47" i="4"/>
  <c r="H47" i="4" s="1"/>
  <c r="C47" i="4"/>
  <c r="B47" i="4"/>
  <c r="D46" i="4"/>
  <c r="H46" i="4" s="1"/>
  <c r="C46" i="4"/>
  <c r="B46" i="4"/>
  <c r="E45" i="4"/>
  <c r="D45" i="4"/>
  <c r="C45" i="4"/>
  <c r="B45" i="4"/>
  <c r="E44" i="4"/>
  <c r="D44" i="4"/>
  <c r="H44" i="4" s="1"/>
  <c r="C44" i="4"/>
  <c r="B44" i="4"/>
  <c r="E43" i="4"/>
  <c r="D43" i="4"/>
  <c r="C43" i="4"/>
  <c r="B43" i="4"/>
  <c r="E42" i="4"/>
  <c r="D42" i="4"/>
  <c r="H42" i="4" s="1"/>
  <c r="C42" i="4"/>
  <c r="B42" i="4"/>
  <c r="E41" i="4"/>
  <c r="D41" i="4"/>
  <c r="C41" i="4"/>
  <c r="B41" i="4"/>
  <c r="E40" i="4"/>
  <c r="D40" i="4"/>
  <c r="H40" i="4" s="1"/>
  <c r="C40" i="4"/>
  <c r="B40" i="4"/>
  <c r="E39" i="4"/>
  <c r="D39" i="4"/>
  <c r="H39" i="4" s="1"/>
  <c r="C39" i="4"/>
  <c r="B39" i="4"/>
  <c r="E38" i="4"/>
  <c r="D38" i="4"/>
  <c r="H38" i="4" s="1"/>
  <c r="C38" i="4"/>
  <c r="B38" i="4"/>
  <c r="E37" i="4"/>
  <c r="D37" i="4"/>
  <c r="H37" i="4" s="1"/>
  <c r="B37" i="4"/>
  <c r="G37" i="4" s="1"/>
  <c r="E36" i="4"/>
  <c r="D36" i="4"/>
  <c r="C36" i="4"/>
  <c r="B36" i="4"/>
  <c r="E35" i="4"/>
  <c r="D35" i="4"/>
  <c r="C35" i="4"/>
  <c r="B35" i="4"/>
  <c r="D34" i="4"/>
  <c r="I34" i="4" s="1"/>
  <c r="C34" i="4"/>
  <c r="B34" i="4"/>
  <c r="E33" i="4"/>
  <c r="I33" i="4" s="1"/>
  <c r="D33" i="4"/>
  <c r="C33" i="4"/>
  <c r="B33" i="4"/>
  <c r="E32" i="4"/>
  <c r="I32" i="4" s="1"/>
  <c r="D32" i="4"/>
  <c r="C32" i="4"/>
  <c r="B32" i="4"/>
  <c r="E31" i="4"/>
  <c r="I31" i="4" s="1"/>
  <c r="D31" i="4"/>
  <c r="C31" i="4"/>
  <c r="B31" i="4"/>
  <c r="E30" i="4"/>
  <c r="I30" i="4" s="1"/>
  <c r="D30" i="4"/>
  <c r="C30" i="4"/>
  <c r="B30" i="4"/>
  <c r="E29" i="4"/>
  <c r="I29" i="4" s="1"/>
  <c r="D29" i="4"/>
  <c r="C29" i="4"/>
  <c r="B29" i="4"/>
  <c r="D28" i="4"/>
  <c r="H28" i="4" s="1"/>
  <c r="B28" i="4"/>
  <c r="G28" i="4" s="1"/>
  <c r="E27" i="4"/>
  <c r="D27" i="4"/>
  <c r="H27" i="4" s="1"/>
  <c r="C27" i="4"/>
  <c r="B27" i="4"/>
  <c r="D26" i="4"/>
  <c r="I26" i="4" s="1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B19" i="4"/>
  <c r="G19" i="4" s="1"/>
  <c r="B17" i="4"/>
  <c r="G17" i="4" s="1"/>
  <c r="C16" i="4"/>
  <c r="B16" i="4"/>
  <c r="E15" i="4"/>
  <c r="D15" i="4"/>
  <c r="C15" i="4"/>
  <c r="B15" i="4"/>
  <c r="D14" i="4"/>
  <c r="H14" i="4" s="1"/>
  <c r="B14" i="4"/>
  <c r="G14" i="4" s="1"/>
  <c r="E13" i="4"/>
  <c r="I13" i="4" s="1"/>
  <c r="D13" i="4"/>
  <c r="B13" i="4"/>
  <c r="E12" i="4"/>
  <c r="D12" i="4"/>
  <c r="H12" i="4" s="1"/>
  <c r="C12" i="4"/>
  <c r="B12" i="4"/>
  <c r="C11" i="4"/>
  <c r="H11" i="4" s="1"/>
  <c r="B11" i="4"/>
  <c r="C10" i="4"/>
  <c r="E9" i="4"/>
  <c r="D9" i="4"/>
  <c r="C9" i="4"/>
  <c r="B9" i="4"/>
  <c r="E8" i="4"/>
  <c r="D8" i="4"/>
  <c r="C8" i="4"/>
  <c r="B8" i="4"/>
  <c r="D7" i="4"/>
  <c r="C7" i="4"/>
  <c r="B7" i="4"/>
  <c r="B6" i="4"/>
  <c r="G6" i="4" s="1"/>
  <c r="E5" i="4"/>
  <c r="D5" i="4"/>
  <c r="C5" i="4"/>
  <c r="B5" i="4"/>
  <c r="E4" i="4"/>
  <c r="D4" i="4"/>
  <c r="C4" i="4"/>
  <c r="B4" i="4"/>
  <c r="E3" i="4"/>
  <c r="D3" i="4"/>
  <c r="C3" i="4"/>
  <c r="B3" i="4"/>
  <c r="E2" i="4"/>
  <c r="D2" i="4"/>
  <c r="C2" i="4"/>
  <c r="B2" i="4"/>
  <c r="F39" i="1"/>
  <c r="E39" i="1"/>
  <c r="D39" i="1"/>
  <c r="AH67" i="1"/>
  <c r="AG67" i="1"/>
  <c r="F67" i="1"/>
  <c r="E67" i="1"/>
  <c r="AF67" i="1"/>
  <c r="D67" i="1"/>
  <c r="G27" i="1"/>
  <c r="F27" i="1"/>
  <c r="E27" i="1"/>
  <c r="D27" i="1"/>
  <c r="K26" i="1"/>
  <c r="J26" i="1"/>
  <c r="I26" i="1"/>
  <c r="H26" i="1"/>
  <c r="J22" i="1"/>
  <c r="I22" i="1"/>
  <c r="H22" i="1"/>
  <c r="I17" i="1"/>
  <c r="H17" i="1"/>
  <c r="I15" i="1"/>
  <c r="G15" i="1"/>
  <c r="V15" i="1"/>
  <c r="U15" i="1"/>
  <c r="R15" i="1"/>
  <c r="Q15" i="1"/>
  <c r="J15" i="1"/>
  <c r="F15" i="1"/>
  <c r="E15" i="1"/>
  <c r="AK15" i="1"/>
  <c r="J14" i="1"/>
  <c r="K14" i="1"/>
  <c r="I14" i="1"/>
  <c r="H14" i="1"/>
  <c r="J13" i="1"/>
  <c r="K13" i="1"/>
  <c r="I13" i="1"/>
  <c r="H13" i="1"/>
  <c r="K10" i="1"/>
  <c r="J10" i="1"/>
  <c r="I10" i="1"/>
  <c r="H10" i="1"/>
  <c r="D9" i="1"/>
  <c r="F9" i="1"/>
  <c r="E9" i="1"/>
  <c r="J8" i="1"/>
  <c r="I8" i="1"/>
  <c r="J6" i="1"/>
  <c r="I6" i="1"/>
  <c r="K2" i="1"/>
  <c r="J2" i="1"/>
  <c r="I2" i="1"/>
  <c r="H2" i="1"/>
  <c r="AI101" i="1"/>
  <c r="AH101" i="1"/>
  <c r="G101" i="1"/>
  <c r="F101" i="1"/>
  <c r="I101" i="1"/>
  <c r="H101" i="1"/>
  <c r="D101" i="1"/>
  <c r="AK101" i="1"/>
  <c r="G100" i="1"/>
  <c r="W100" i="1" s="1"/>
  <c r="F100" i="1"/>
  <c r="V100" i="1" s="1"/>
  <c r="E100" i="1"/>
  <c r="U100" i="1" s="1"/>
  <c r="H100" i="1"/>
  <c r="D100" i="1"/>
  <c r="T100" i="1" s="1"/>
  <c r="AI99" i="1"/>
  <c r="AH99" i="1"/>
  <c r="G99" i="1"/>
  <c r="F99" i="1"/>
  <c r="AG99" i="1"/>
  <c r="AF99" i="1"/>
  <c r="E99" i="1"/>
  <c r="D99" i="1"/>
  <c r="K98" i="1"/>
  <c r="G98" i="1"/>
  <c r="F98" i="1"/>
  <c r="E98" i="1"/>
  <c r="H98" i="1"/>
  <c r="D98" i="1"/>
  <c r="AI96" i="1"/>
  <c r="AH96" i="1"/>
  <c r="G96" i="1"/>
  <c r="F96" i="1"/>
  <c r="AG96" i="1"/>
  <c r="AF96" i="1"/>
  <c r="E96" i="1"/>
  <c r="D96" i="1"/>
  <c r="K94" i="1"/>
  <c r="J94" i="1"/>
  <c r="G94" i="1"/>
  <c r="F94" i="1"/>
  <c r="AG94" i="1"/>
  <c r="AF94" i="1"/>
  <c r="I94" i="1"/>
  <c r="H94" i="1"/>
  <c r="E94" i="1"/>
  <c r="D94" i="1"/>
  <c r="W93" i="1"/>
  <c r="V93" i="1"/>
  <c r="S93" i="1"/>
  <c r="R93" i="1"/>
  <c r="J93" i="1"/>
  <c r="U93" i="1"/>
  <c r="T93" i="1"/>
  <c r="Q93" i="1"/>
  <c r="P93" i="1"/>
  <c r="I93" i="1"/>
  <c r="H93" i="1"/>
  <c r="D93" i="1"/>
  <c r="K91" i="1"/>
  <c r="J91" i="1"/>
  <c r="F91" i="1"/>
  <c r="E91" i="1"/>
  <c r="D91" i="1"/>
  <c r="J90" i="1"/>
  <c r="I90" i="1"/>
  <c r="H90" i="1"/>
  <c r="K88" i="1"/>
  <c r="J88" i="1"/>
  <c r="G88" i="1"/>
  <c r="F88" i="1"/>
  <c r="AI88" i="1"/>
  <c r="AH88" i="1"/>
  <c r="AE88" i="1"/>
  <c r="AD88" i="1"/>
  <c r="H88" i="1"/>
  <c r="AG88" i="1"/>
  <c r="AF88" i="1"/>
  <c r="AC88" i="1"/>
  <c r="AB88" i="1"/>
  <c r="E88" i="1"/>
  <c r="D88" i="1"/>
  <c r="G85" i="1"/>
  <c r="F85" i="1"/>
  <c r="E85" i="1"/>
  <c r="D85" i="1"/>
  <c r="AH86" i="1"/>
  <c r="G86" i="1"/>
  <c r="D86" i="1"/>
  <c r="E86" i="1"/>
  <c r="F86" i="1"/>
  <c r="AG86" i="1"/>
  <c r="AF86" i="1"/>
  <c r="AI85" i="1"/>
  <c r="AH85" i="1"/>
  <c r="T81" i="1"/>
  <c r="K82" i="1"/>
  <c r="J82" i="1"/>
  <c r="I82" i="1"/>
  <c r="H82" i="1"/>
  <c r="V81" i="1"/>
  <c r="U81" i="1"/>
  <c r="AF81" i="1"/>
  <c r="AI80" i="1"/>
  <c r="AH80" i="1"/>
  <c r="G80" i="1"/>
  <c r="F80" i="1"/>
  <c r="AG80" i="1"/>
  <c r="AF80" i="1"/>
  <c r="E80" i="1"/>
  <c r="D80" i="1"/>
  <c r="AI79" i="1"/>
  <c r="AH79" i="1"/>
  <c r="W78" i="1"/>
  <c r="V78" i="1"/>
  <c r="G78" i="1"/>
  <c r="F78" i="1"/>
  <c r="U78" i="1"/>
  <c r="T78" i="1"/>
  <c r="E78" i="1"/>
  <c r="D78" i="1"/>
  <c r="G77" i="1"/>
  <c r="F77" i="1"/>
  <c r="E77" i="1"/>
  <c r="D77" i="1"/>
  <c r="AI75" i="1"/>
  <c r="AH75" i="1"/>
  <c r="AG75" i="1"/>
  <c r="AF75" i="1"/>
  <c r="P75" i="1"/>
  <c r="K74" i="1"/>
  <c r="J74" i="1"/>
  <c r="G74" i="1"/>
  <c r="F74" i="1"/>
  <c r="G73" i="1"/>
  <c r="F73" i="1"/>
  <c r="E73" i="1"/>
  <c r="F71" i="1"/>
  <c r="E71" i="1"/>
  <c r="D71" i="1"/>
  <c r="G70" i="1"/>
  <c r="F70" i="1"/>
  <c r="AB70" i="1"/>
  <c r="D70" i="1"/>
  <c r="G68" i="1"/>
  <c r="F68" i="1"/>
  <c r="H68" i="1"/>
  <c r="E68" i="1"/>
  <c r="D68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E66" i="1"/>
  <c r="F66" i="1"/>
  <c r="D66" i="1"/>
  <c r="I65" i="1"/>
  <c r="H65" i="1"/>
  <c r="K65" i="1"/>
  <c r="J65" i="1"/>
  <c r="AG65" i="1"/>
  <c r="AF65" i="1"/>
  <c r="W64" i="1"/>
  <c r="V64" i="1"/>
  <c r="G64" i="1"/>
  <c r="S64" i="1" s="1"/>
  <c r="F64" i="1"/>
  <c r="R64" i="1" s="1"/>
  <c r="AB64" i="1"/>
  <c r="U64" i="1"/>
  <c r="T64" i="1"/>
  <c r="E64" i="1"/>
  <c r="Q64" i="1" s="1"/>
  <c r="D64" i="1"/>
  <c r="P64" i="1" s="1"/>
  <c r="AH63" i="1"/>
  <c r="V63" i="1"/>
  <c r="R63" i="1"/>
  <c r="U63" i="1"/>
  <c r="T63" i="1"/>
  <c r="P63" i="1"/>
  <c r="AH61" i="1"/>
  <c r="V61" i="1"/>
  <c r="J61" i="1"/>
  <c r="AG61" i="1"/>
  <c r="AF61" i="1"/>
  <c r="U61" i="1"/>
  <c r="T61" i="1"/>
  <c r="I61" i="1"/>
  <c r="H61" i="1"/>
  <c r="AD60" i="1"/>
  <c r="H60" i="1"/>
  <c r="G59" i="1"/>
  <c r="F59" i="1"/>
  <c r="E59" i="1"/>
  <c r="D59" i="1"/>
  <c r="AI58" i="1"/>
  <c r="AH58" i="1"/>
  <c r="G58" i="1"/>
  <c r="F58" i="1"/>
  <c r="E58" i="1"/>
  <c r="D58" i="1"/>
  <c r="AI57" i="1"/>
  <c r="AH57" i="1"/>
  <c r="G57" i="1"/>
  <c r="F57" i="1"/>
  <c r="AG57" i="1"/>
  <c r="AF57" i="1"/>
  <c r="U57" i="1"/>
  <c r="T57" i="1"/>
  <c r="Q57" i="1"/>
  <c r="P57" i="1"/>
  <c r="E57" i="1"/>
  <c r="D57" i="1"/>
  <c r="H57" i="1"/>
  <c r="AK57" i="1"/>
  <c r="AI56" i="1"/>
  <c r="AH56" i="1"/>
  <c r="E56" i="1"/>
  <c r="F56" i="1"/>
  <c r="U56" i="1"/>
  <c r="W56" i="1"/>
  <c r="V56" i="1"/>
  <c r="G56" i="1"/>
  <c r="AG56" i="1"/>
  <c r="AF56" i="1"/>
  <c r="T56" i="1"/>
  <c r="D56" i="1"/>
  <c r="AI55" i="1"/>
  <c r="AH55" i="1"/>
  <c r="N55" i="1"/>
  <c r="AF55" i="1"/>
  <c r="AG55" i="1"/>
  <c r="M55" i="1"/>
  <c r="L55" i="1"/>
  <c r="J54" i="1"/>
  <c r="H54" i="1"/>
  <c r="I54" i="1"/>
  <c r="W53" i="1"/>
  <c r="V53" i="1"/>
  <c r="G53" i="1"/>
  <c r="AG53" i="1"/>
  <c r="AF53" i="1"/>
  <c r="I53" i="1"/>
  <c r="H53" i="1"/>
  <c r="T52" i="1"/>
  <c r="Q52" i="1"/>
  <c r="P52" i="1"/>
  <c r="D52" i="1"/>
  <c r="K51" i="1"/>
  <c r="J51" i="1"/>
  <c r="I51" i="1"/>
  <c r="H51" i="1"/>
  <c r="G49" i="1"/>
  <c r="F49" i="1"/>
  <c r="E49" i="1"/>
  <c r="D49" i="1"/>
  <c r="F48" i="1"/>
  <c r="I48" i="1"/>
  <c r="H48" i="1"/>
  <c r="AH46" i="1"/>
  <c r="F46" i="1"/>
  <c r="G46" i="1"/>
  <c r="AG46" i="1"/>
  <c r="AF46" i="1"/>
  <c r="Q46" i="1"/>
  <c r="P46" i="1"/>
  <c r="E46" i="1"/>
  <c r="D46" i="1"/>
  <c r="AI45" i="1"/>
  <c r="AH45" i="1"/>
  <c r="G45" i="1"/>
  <c r="F45" i="1"/>
  <c r="AG45" i="1"/>
  <c r="AF45" i="1"/>
  <c r="E45" i="1"/>
  <c r="D45" i="1"/>
  <c r="J44" i="1"/>
  <c r="F44" i="1"/>
  <c r="E44" i="1"/>
  <c r="I44" i="1"/>
  <c r="D44" i="1"/>
  <c r="G43" i="1"/>
  <c r="F43" i="1"/>
  <c r="E43" i="1"/>
  <c r="D43" i="1"/>
  <c r="G42" i="1"/>
  <c r="F42" i="1"/>
  <c r="E42" i="1"/>
  <c r="D42" i="1"/>
  <c r="AI41" i="1"/>
  <c r="AH41" i="1"/>
  <c r="F41" i="1"/>
  <c r="AG41" i="1"/>
  <c r="AF41" i="1"/>
  <c r="D41" i="1"/>
  <c r="K39" i="1"/>
  <c r="G39" i="1"/>
  <c r="F38" i="1"/>
  <c r="E38" i="1"/>
  <c r="D38" i="1"/>
  <c r="K37" i="1"/>
  <c r="J37" i="1"/>
  <c r="AG37" i="1"/>
  <c r="AF37" i="1"/>
  <c r="I37" i="1"/>
  <c r="H37" i="1"/>
  <c r="F36" i="1"/>
  <c r="E36" i="1"/>
  <c r="D36" i="1"/>
  <c r="G34" i="1"/>
  <c r="F34" i="1"/>
  <c r="E34" i="1"/>
  <c r="D34" i="1"/>
  <c r="G31" i="1"/>
  <c r="F31" i="1"/>
  <c r="AB31" i="1"/>
  <c r="E31" i="1"/>
  <c r="D31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8" i="1"/>
  <c r="AK59" i="1"/>
  <c r="AK60" i="1"/>
  <c r="AK61" i="1"/>
  <c r="AK62" i="1"/>
  <c r="AK63" i="1"/>
  <c r="AK64" i="1"/>
  <c r="AK65" i="1"/>
  <c r="AK66" i="1"/>
  <c r="G30" i="1"/>
  <c r="F30" i="1"/>
  <c r="E30" i="1"/>
  <c r="D30" i="1"/>
  <c r="AK27" i="1"/>
  <c r="AK28" i="1"/>
  <c r="AK29" i="1"/>
  <c r="AK30" i="1"/>
  <c r="W26" i="1"/>
  <c r="V26" i="1"/>
  <c r="U26" i="1"/>
  <c r="T26" i="1"/>
  <c r="D26" i="1"/>
  <c r="AK26" i="1"/>
  <c r="AI25" i="1"/>
  <c r="AH25" i="1"/>
  <c r="AA25" i="1"/>
  <c r="Z25" i="1"/>
  <c r="AK25" i="1"/>
  <c r="AG25" i="1"/>
  <c r="AF25" i="1"/>
  <c r="Y25" i="1"/>
  <c r="X25" i="1"/>
  <c r="AK19" i="1"/>
  <c r="AK20" i="1"/>
  <c r="AK21" i="1"/>
  <c r="AK22" i="1"/>
  <c r="AK23" i="1"/>
  <c r="AK24" i="1"/>
  <c r="D24" i="1"/>
  <c r="W22" i="1"/>
  <c r="V22" i="1"/>
  <c r="O22" i="1"/>
  <c r="N22" i="1"/>
  <c r="L22" i="1"/>
  <c r="M22" i="1"/>
  <c r="U22" i="1"/>
  <c r="T22" i="1"/>
  <c r="E22" i="1"/>
  <c r="D22" i="1"/>
  <c r="AI2" i="1"/>
  <c r="AH2" i="1"/>
  <c r="G2" i="1"/>
  <c r="F2" i="1"/>
  <c r="AG2" i="1"/>
  <c r="AF2" i="1"/>
  <c r="E2" i="1"/>
  <c r="D2" i="1"/>
  <c r="AK2" i="1"/>
  <c r="G20" i="1"/>
  <c r="F20" i="1"/>
  <c r="AG20" i="1"/>
  <c r="AF20" i="1"/>
  <c r="D20" i="1"/>
  <c r="E20" i="1"/>
  <c r="F19" i="1"/>
  <c r="D19" i="1"/>
  <c r="AK18" i="1"/>
  <c r="AI17" i="1"/>
  <c r="AH17" i="1"/>
  <c r="W17" i="1"/>
  <c r="V17" i="1"/>
  <c r="R17" i="1"/>
  <c r="K17" i="1"/>
  <c r="J17" i="1"/>
  <c r="G17" i="1"/>
  <c r="F17" i="1"/>
  <c r="U17" i="1"/>
  <c r="T17" i="1"/>
  <c r="P17" i="1"/>
  <c r="E17" i="1"/>
  <c r="D17" i="1"/>
  <c r="AK17" i="1"/>
  <c r="AK11" i="1"/>
  <c r="AK12" i="1"/>
  <c r="AK13" i="1"/>
  <c r="AK14" i="1"/>
  <c r="AK16" i="1"/>
  <c r="AI16" i="1"/>
  <c r="AH16" i="1"/>
  <c r="AG16" i="1"/>
  <c r="D16" i="1"/>
  <c r="E16" i="1"/>
  <c r="F16" i="1"/>
  <c r="G16" i="1"/>
  <c r="E14" i="1"/>
  <c r="D14" i="1"/>
  <c r="W13" i="1"/>
  <c r="V13" i="1"/>
  <c r="T13" i="1"/>
  <c r="AG13" i="1"/>
  <c r="E13" i="1"/>
  <c r="U13" i="1" s="1"/>
  <c r="G11" i="1"/>
  <c r="F11" i="1"/>
  <c r="E11" i="1"/>
  <c r="D11" i="1"/>
  <c r="AF10" i="1"/>
  <c r="E10" i="1"/>
  <c r="D10" i="1"/>
  <c r="AI10" i="1"/>
  <c r="AH10" i="1"/>
  <c r="G10" i="1"/>
  <c r="F10" i="1"/>
  <c r="AK10" i="1"/>
  <c r="AK9" i="1"/>
  <c r="D8" i="1"/>
  <c r="AK8" i="1"/>
  <c r="G7" i="1"/>
  <c r="F7" i="1"/>
  <c r="E7" i="1"/>
  <c r="D7" i="1"/>
  <c r="AK7" i="1"/>
  <c r="G6" i="1"/>
  <c r="F6" i="1"/>
  <c r="AK6" i="1"/>
  <c r="E6" i="1"/>
  <c r="D6" i="1"/>
  <c r="AK5" i="1"/>
  <c r="F4" i="1"/>
  <c r="E4" i="1"/>
  <c r="D4" i="1"/>
  <c r="G4" i="1"/>
  <c r="AK4" i="1"/>
  <c r="V6" i="13" l="1"/>
  <c r="V26" i="13"/>
  <c r="K5" i="13"/>
  <c r="M13" i="13"/>
  <c r="K32" i="13"/>
  <c r="I23" i="4"/>
  <c r="V23" i="6"/>
  <c r="V27" i="6"/>
  <c r="T65" i="6"/>
  <c r="R2" i="6"/>
  <c r="R44" i="6"/>
  <c r="R39" i="6"/>
  <c r="R35" i="6"/>
  <c r="R31" i="6"/>
  <c r="R23" i="6"/>
  <c r="R19" i="6"/>
  <c r="R14" i="6"/>
  <c r="R6" i="6"/>
  <c r="W11" i="6"/>
  <c r="W4" i="6"/>
  <c r="W5" i="13"/>
  <c r="L15" i="13"/>
  <c r="P15" i="13"/>
  <c r="W29" i="13"/>
  <c r="V29" i="13" s="1"/>
  <c r="M21" i="13"/>
  <c r="K20" i="13"/>
  <c r="M31" i="13"/>
  <c r="M68" i="6"/>
  <c r="R18" i="6"/>
  <c r="T23" i="6"/>
  <c r="T27" i="6"/>
  <c r="V35" i="6"/>
  <c r="U36" i="6"/>
  <c r="T37" i="6"/>
  <c r="H68" i="6"/>
  <c r="P68" i="6" s="1"/>
  <c r="U41" i="6"/>
  <c r="V42" i="6"/>
  <c r="V50" i="6"/>
  <c r="U54" i="6"/>
  <c r="W55" i="6"/>
  <c r="T59" i="6"/>
  <c r="T60" i="6"/>
  <c r="V64" i="6"/>
  <c r="U65" i="6"/>
  <c r="R65" i="6"/>
  <c r="R61" i="6"/>
  <c r="R56" i="6"/>
  <c r="R52" i="6"/>
  <c r="R34" i="6"/>
  <c r="R30" i="6"/>
  <c r="R26" i="6"/>
  <c r="R17" i="6"/>
  <c r="R13" i="6"/>
  <c r="R9" i="6"/>
  <c r="R5" i="6"/>
  <c r="R27" i="6"/>
  <c r="R15" i="6"/>
  <c r="W66" i="6"/>
  <c r="W39" i="6"/>
  <c r="W31" i="6"/>
  <c r="W25" i="6"/>
  <c r="W19" i="6"/>
  <c r="W3" i="6"/>
  <c r="W52" i="6"/>
  <c r="W48" i="6"/>
  <c r="M27" i="13"/>
  <c r="K12" i="13"/>
  <c r="M11" i="13"/>
  <c r="K10" i="13"/>
  <c r="M9" i="13"/>
  <c r="L75" i="4"/>
  <c r="T2" i="6"/>
  <c r="V5" i="6"/>
  <c r="W5" i="6" s="1"/>
  <c r="V9" i="6"/>
  <c r="W9" i="6" s="1"/>
  <c r="U23" i="6"/>
  <c r="U27" i="6"/>
  <c r="T28" i="6"/>
  <c r="T33" i="6"/>
  <c r="W33" i="6" s="1"/>
  <c r="T35" i="6"/>
  <c r="V37" i="6"/>
  <c r="R43" i="6"/>
  <c r="V54" i="6"/>
  <c r="Q60" i="6"/>
  <c r="V60" i="6"/>
  <c r="T64" i="6"/>
  <c r="R11" i="6"/>
  <c r="R7" i="6"/>
  <c r="R3" i="6"/>
  <c r="R38" i="6"/>
  <c r="R22" i="6"/>
  <c r="R10" i="6"/>
  <c r="W34" i="6"/>
  <c r="W22" i="6"/>
  <c r="W17" i="6"/>
  <c r="W6" i="6"/>
  <c r="W56" i="6"/>
  <c r="W40" i="6"/>
  <c r="O5" i="13"/>
  <c r="O34" i="13" s="1"/>
  <c r="K15" i="13"/>
  <c r="O15" i="13"/>
  <c r="K18" i="13"/>
  <c r="M17" i="13"/>
  <c r="M15" i="13"/>
  <c r="M3" i="13"/>
  <c r="K28" i="13"/>
  <c r="K22" i="13"/>
  <c r="K14" i="13"/>
  <c r="L33" i="13"/>
  <c r="L31" i="13"/>
  <c r="L27" i="13"/>
  <c r="L25" i="13"/>
  <c r="L23" i="13"/>
  <c r="L21" i="13"/>
  <c r="L19" i="13"/>
  <c r="L17" i="13"/>
  <c r="Q15" i="13"/>
  <c r="L13" i="13"/>
  <c r="L11" i="13"/>
  <c r="L9" i="13"/>
  <c r="Q5" i="13"/>
  <c r="Q34" i="13" s="1"/>
  <c r="L5" i="13"/>
  <c r="L4" i="13"/>
  <c r="L3" i="13"/>
  <c r="L2" i="13"/>
  <c r="M33" i="13"/>
  <c r="K30" i="13"/>
  <c r="M25" i="13"/>
  <c r="M23" i="13"/>
  <c r="K16" i="13"/>
  <c r="K8" i="13"/>
  <c r="W24" i="13"/>
  <c r="V24" i="13" s="1"/>
  <c r="I34" i="13"/>
  <c r="K33" i="13"/>
  <c r="M32" i="13"/>
  <c r="K31" i="13"/>
  <c r="M30" i="13"/>
  <c r="K29" i="13"/>
  <c r="M28" i="13"/>
  <c r="K27" i="13"/>
  <c r="K25" i="13"/>
  <c r="M24" i="13"/>
  <c r="K23" i="13"/>
  <c r="M22" i="13"/>
  <c r="K21" i="13"/>
  <c r="M20" i="13"/>
  <c r="K19" i="13"/>
  <c r="M18" i="13"/>
  <c r="K17" i="13"/>
  <c r="M16" i="13"/>
  <c r="M14" i="13"/>
  <c r="K13" i="13"/>
  <c r="M12" i="13"/>
  <c r="K11" i="13"/>
  <c r="M10" i="13"/>
  <c r="K9" i="13"/>
  <c r="M8" i="13"/>
  <c r="K7" i="13"/>
  <c r="P5" i="13"/>
  <c r="K4" i="13"/>
  <c r="K3" i="13"/>
  <c r="K2" i="13"/>
  <c r="M19" i="13"/>
  <c r="W15" i="13"/>
  <c r="X15" i="13"/>
  <c r="L32" i="13"/>
  <c r="L30" i="13"/>
  <c r="L28" i="13"/>
  <c r="L24" i="13"/>
  <c r="L22" i="13"/>
  <c r="L20" i="13"/>
  <c r="L18" i="13"/>
  <c r="L16" i="13"/>
  <c r="L14" i="13"/>
  <c r="L12" i="13"/>
  <c r="L10" i="13"/>
  <c r="L8" i="13"/>
  <c r="M4" i="13"/>
  <c r="M34" i="13" s="1"/>
  <c r="T24" i="13"/>
  <c r="B34" i="13"/>
  <c r="E34" i="13"/>
  <c r="S5" i="13"/>
  <c r="S34" i="13" s="1"/>
  <c r="W13" i="13"/>
  <c r="V13" i="13" s="1"/>
  <c r="H34" i="13"/>
  <c r="D34" i="13"/>
  <c r="T15" i="13"/>
  <c r="G34" i="13"/>
  <c r="C34" i="13"/>
  <c r="I5" i="4"/>
  <c r="I15" i="4"/>
  <c r="W60" i="6"/>
  <c r="K68" i="6"/>
  <c r="T68" i="6" s="1"/>
  <c r="V2" i="6"/>
  <c r="T54" i="6"/>
  <c r="W54" i="6" s="1"/>
  <c r="W50" i="6"/>
  <c r="V67" i="6"/>
  <c r="W67" i="6" s="1"/>
  <c r="V10" i="6"/>
  <c r="W10" i="6" s="1"/>
  <c r="T12" i="6"/>
  <c r="V36" i="6"/>
  <c r="V38" i="6"/>
  <c r="V41" i="6"/>
  <c r="W41" i="6" s="1"/>
  <c r="T44" i="6"/>
  <c r="V53" i="6"/>
  <c r="W53" i="6" s="1"/>
  <c r="V58" i="6"/>
  <c r="W58" i="6" s="1"/>
  <c r="U59" i="6"/>
  <c r="V65" i="6"/>
  <c r="W65" i="6" s="1"/>
  <c r="O60" i="6"/>
  <c r="R20" i="6"/>
  <c r="R16" i="6"/>
  <c r="R12" i="6"/>
  <c r="R8" i="6"/>
  <c r="R4" i="6"/>
  <c r="W62" i="6"/>
  <c r="W14" i="6"/>
  <c r="U28" i="6"/>
  <c r="W28" i="6" s="1"/>
  <c r="W64" i="6"/>
  <c r="P60" i="6"/>
  <c r="P40" i="6"/>
  <c r="F68" i="6"/>
  <c r="O68" i="6" s="1"/>
  <c r="R68" i="6" s="1"/>
  <c r="I68" i="6"/>
  <c r="Q68" i="6" s="1"/>
  <c r="T21" i="6"/>
  <c r="W21" i="6" s="1"/>
  <c r="U44" i="6"/>
  <c r="U12" i="6"/>
  <c r="J17" i="4"/>
  <c r="U2" i="6"/>
  <c r="W2" i="6" s="1"/>
  <c r="L68" i="6"/>
  <c r="U68" i="6" s="1"/>
  <c r="U15" i="6"/>
  <c r="W15" i="6" s="1"/>
  <c r="U35" i="6"/>
  <c r="W35" i="6" s="1"/>
  <c r="T36" i="6"/>
  <c r="W36" i="6" s="1"/>
  <c r="Q40" i="6"/>
  <c r="W51" i="6"/>
  <c r="W42" i="6"/>
  <c r="W38" i="6"/>
  <c r="W29" i="6"/>
  <c r="W24" i="6"/>
  <c r="T7" i="6"/>
  <c r="W7" i="6" s="1"/>
  <c r="V59" i="6"/>
  <c r="W32" i="13"/>
  <c r="V32" i="13" s="1"/>
  <c r="W28" i="13"/>
  <c r="V28" i="13" s="1"/>
  <c r="W20" i="13"/>
  <c r="V20" i="13" s="1"/>
  <c r="W16" i="13"/>
  <c r="V16" i="13" s="1"/>
  <c r="W12" i="13"/>
  <c r="V12" i="13" s="1"/>
  <c r="W8" i="13"/>
  <c r="V8" i="13" s="1"/>
  <c r="W4" i="13"/>
  <c r="V4" i="13" s="1"/>
  <c r="J5" i="12"/>
  <c r="L5" i="12" s="1"/>
  <c r="M13" i="12"/>
  <c r="K14" i="12"/>
  <c r="J23" i="12"/>
  <c r="N23" i="12" s="1"/>
  <c r="W31" i="13"/>
  <c r="V31" i="13" s="1"/>
  <c r="W27" i="13"/>
  <c r="V27" i="13" s="1"/>
  <c r="W23" i="13"/>
  <c r="V23" i="13" s="1"/>
  <c r="W19" i="13"/>
  <c r="V19" i="13" s="1"/>
  <c r="W11" i="13"/>
  <c r="V11" i="13" s="1"/>
  <c r="W7" i="13"/>
  <c r="V7" i="13" s="1"/>
  <c r="W3" i="13"/>
  <c r="V3" i="13" s="1"/>
  <c r="K4" i="12"/>
  <c r="R5" i="13"/>
  <c r="R15" i="13"/>
  <c r="W30" i="13"/>
  <c r="V30" i="13" s="1"/>
  <c r="W22" i="13"/>
  <c r="V22" i="13" s="1"/>
  <c r="W18" i="13"/>
  <c r="V18" i="13" s="1"/>
  <c r="W14" i="13"/>
  <c r="V14" i="13" s="1"/>
  <c r="W10" i="13"/>
  <c r="V10" i="13" s="1"/>
  <c r="W2" i="13"/>
  <c r="V2" i="13" s="1"/>
  <c r="S15" i="13"/>
  <c r="T13" i="13"/>
  <c r="W33" i="13"/>
  <c r="V33" i="13" s="1"/>
  <c r="W25" i="13"/>
  <c r="V25" i="13" s="1"/>
  <c r="W21" i="13"/>
  <c r="V21" i="13" s="1"/>
  <c r="W17" i="13"/>
  <c r="V17" i="13" s="1"/>
  <c r="W9" i="13"/>
  <c r="V9" i="13" s="1"/>
  <c r="X5" i="13"/>
  <c r="K10" i="12"/>
  <c r="J3" i="12"/>
  <c r="J6" i="12"/>
  <c r="L6" i="12" s="1"/>
  <c r="M7" i="12"/>
  <c r="M10" i="12"/>
  <c r="J11" i="12"/>
  <c r="L11" i="12" s="1"/>
  <c r="M11" i="12"/>
  <c r="M12" i="12"/>
  <c r="K15" i="12"/>
  <c r="M16" i="12"/>
  <c r="M18" i="12"/>
  <c r="N18" i="12" s="1"/>
  <c r="J19" i="12"/>
  <c r="N19" i="12" s="1"/>
  <c r="M19" i="12"/>
  <c r="M22" i="12"/>
  <c r="M3" i="12"/>
  <c r="N3" i="12" s="1"/>
  <c r="J4" i="12"/>
  <c r="M6" i="12"/>
  <c r="M24" i="12" s="1"/>
  <c r="J9" i="12"/>
  <c r="L9" i="12" s="1"/>
  <c r="M9" i="12"/>
  <c r="J13" i="12"/>
  <c r="L13" i="12" s="1"/>
  <c r="K20" i="12"/>
  <c r="M20" i="12"/>
  <c r="N20" i="12" s="1"/>
  <c r="L18" i="12"/>
  <c r="N7" i="12"/>
  <c r="L7" i="12"/>
  <c r="J8" i="12"/>
  <c r="L8" i="12" s="1"/>
  <c r="J12" i="12"/>
  <c r="L12" i="12" s="1"/>
  <c r="J14" i="12"/>
  <c r="L14" i="12" s="1"/>
  <c r="J16" i="12"/>
  <c r="L16" i="12" s="1"/>
  <c r="L2" i="12"/>
  <c r="J10" i="12"/>
  <c r="N10" i="12" s="1"/>
  <c r="M14" i="12"/>
  <c r="J17" i="12"/>
  <c r="L17" i="12" s="1"/>
  <c r="M17" i="12"/>
  <c r="J21" i="12"/>
  <c r="L21" i="12" s="1"/>
  <c r="L3" i="12"/>
  <c r="N2" i="12"/>
  <c r="L19" i="12"/>
  <c r="N9" i="12"/>
  <c r="L20" i="12"/>
  <c r="N5" i="12"/>
  <c r="J22" i="12"/>
  <c r="L22" i="12" s="1"/>
  <c r="J15" i="12"/>
  <c r="L15" i="12" s="1"/>
  <c r="I2" i="4"/>
  <c r="I3" i="4"/>
  <c r="I4" i="4"/>
  <c r="H7" i="4"/>
  <c r="I8" i="4"/>
  <c r="I9" i="4"/>
  <c r="I20" i="4"/>
  <c r="I21" i="4"/>
  <c r="I22" i="4"/>
  <c r="I24" i="4"/>
  <c r="I25" i="4"/>
  <c r="H29" i="4"/>
  <c r="H30" i="4"/>
  <c r="H31" i="4"/>
  <c r="H32" i="4"/>
  <c r="H33" i="4"/>
  <c r="H34" i="4"/>
  <c r="I35" i="4"/>
  <c r="I36" i="4"/>
  <c r="I28" i="4"/>
  <c r="H13" i="4"/>
  <c r="I41" i="4"/>
  <c r="I43" i="4"/>
  <c r="I45" i="4"/>
  <c r="J67" i="4"/>
  <c r="J60" i="4"/>
  <c r="I7" i="4"/>
  <c r="G13" i="4"/>
  <c r="I14" i="4"/>
  <c r="J14" i="4" s="1"/>
  <c r="G47" i="4"/>
  <c r="J47" i="4" s="1"/>
  <c r="G48" i="4"/>
  <c r="G49" i="4"/>
  <c r="G50" i="4"/>
  <c r="J50" i="4" s="1"/>
  <c r="G51" i="4"/>
  <c r="J51" i="4" s="1"/>
  <c r="G52" i="4"/>
  <c r="G53" i="4"/>
  <c r="G55" i="4"/>
  <c r="G56" i="4"/>
  <c r="J56" i="4" s="1"/>
  <c r="G57" i="4"/>
  <c r="G58" i="4"/>
  <c r="G59" i="4"/>
  <c r="G61" i="4"/>
  <c r="J61" i="4" s="1"/>
  <c r="G63" i="4"/>
  <c r="G64" i="4"/>
  <c r="G65" i="4"/>
  <c r="J65" i="4" s="1"/>
  <c r="G66" i="4"/>
  <c r="J66" i="4" s="1"/>
  <c r="G68" i="4"/>
  <c r="G69" i="4"/>
  <c r="G70" i="4"/>
  <c r="G71" i="4"/>
  <c r="J71" i="4" s="1"/>
  <c r="G72" i="4"/>
  <c r="G12" i="4"/>
  <c r="G27" i="4"/>
  <c r="G38" i="4"/>
  <c r="G39" i="4"/>
  <c r="G40" i="4"/>
  <c r="G41" i="4"/>
  <c r="G42" i="4"/>
  <c r="G43" i="4"/>
  <c r="G44" i="4"/>
  <c r="G45" i="4"/>
  <c r="G46" i="4"/>
  <c r="H55" i="4"/>
  <c r="H57" i="4"/>
  <c r="J57" i="4" s="1"/>
  <c r="H59" i="4"/>
  <c r="H64" i="4"/>
  <c r="J64" i="4" s="1"/>
  <c r="H66" i="4"/>
  <c r="H68" i="4"/>
  <c r="H70" i="4"/>
  <c r="J18" i="4"/>
  <c r="H2" i="4"/>
  <c r="G2" i="4"/>
  <c r="G3" i="4"/>
  <c r="H3" i="4"/>
  <c r="G4" i="4"/>
  <c r="H4" i="4"/>
  <c r="H5" i="4"/>
  <c r="G5" i="4"/>
  <c r="G8" i="4"/>
  <c r="H8" i="4"/>
  <c r="H9" i="4"/>
  <c r="G9" i="4"/>
  <c r="H15" i="4"/>
  <c r="G15" i="4"/>
  <c r="J15" i="4" s="1"/>
  <c r="H16" i="4"/>
  <c r="G16" i="4"/>
  <c r="H20" i="4"/>
  <c r="G20" i="4"/>
  <c r="J20" i="4" s="1"/>
  <c r="H21" i="4"/>
  <c r="G21" i="4"/>
  <c r="G22" i="4"/>
  <c r="H22" i="4"/>
  <c r="H23" i="4"/>
  <c r="G23" i="4"/>
  <c r="G24" i="4"/>
  <c r="H24" i="4"/>
  <c r="H25" i="4"/>
  <c r="G25" i="4"/>
  <c r="G26" i="4"/>
  <c r="H26" i="4"/>
  <c r="G35" i="4"/>
  <c r="H35" i="4"/>
  <c r="G36" i="4"/>
  <c r="H36" i="4"/>
  <c r="H45" i="4"/>
  <c r="J45" i="4" s="1"/>
  <c r="H43" i="4"/>
  <c r="J43" i="4" s="1"/>
  <c r="H41" i="4"/>
  <c r="I38" i="4"/>
  <c r="G7" i="4"/>
  <c r="J7" i="4" s="1"/>
  <c r="G11" i="4"/>
  <c r="J11" i="4" s="1"/>
  <c r="G29" i="4"/>
  <c r="G30" i="4"/>
  <c r="G31" i="4"/>
  <c r="J31" i="4" s="1"/>
  <c r="G32" i="4"/>
  <c r="J32" i="4" s="1"/>
  <c r="G33" i="4"/>
  <c r="G34" i="4"/>
  <c r="J73" i="4"/>
  <c r="J54" i="4"/>
  <c r="I46" i="4"/>
  <c r="I44" i="4"/>
  <c r="J44" i="4" s="1"/>
  <c r="I42" i="4"/>
  <c r="I40" i="4"/>
  <c r="J40" i="4" s="1"/>
  <c r="I37" i="4"/>
  <c r="J37" i="4" s="1"/>
  <c r="I27" i="4"/>
  <c r="J27" i="4" s="1"/>
  <c r="I12" i="4"/>
  <c r="J19" i="4"/>
  <c r="J28" i="4"/>
  <c r="J48" i="4"/>
  <c r="J49" i="4"/>
  <c r="J52" i="4"/>
  <c r="J53" i="4"/>
  <c r="J55" i="4"/>
  <c r="J58" i="4"/>
  <c r="J63" i="4"/>
  <c r="J68" i="4"/>
  <c r="J69" i="4"/>
  <c r="J72" i="4"/>
  <c r="J6" i="4"/>
  <c r="G10" i="4"/>
  <c r="H10" i="4"/>
  <c r="J41" i="4"/>
  <c r="J62" i="4"/>
  <c r="I39" i="4"/>
  <c r="J39" i="4" s="1"/>
  <c r="D74" i="4"/>
  <c r="E74" i="4"/>
  <c r="B74" i="4"/>
  <c r="C74" i="4"/>
  <c r="K24" i="12" l="1"/>
  <c r="L4" i="12"/>
  <c r="J24" i="12"/>
  <c r="K34" i="13"/>
  <c r="P34" i="13"/>
  <c r="X34" i="13"/>
  <c r="V5" i="13"/>
  <c r="V15" i="13"/>
  <c r="J70" i="4"/>
  <c r="J59" i="4"/>
  <c r="J13" i="4"/>
  <c r="N21" i="12"/>
  <c r="N17" i="12"/>
  <c r="W59" i="6"/>
  <c r="L34" i="13"/>
  <c r="W27" i="6"/>
  <c r="T34" i="13"/>
  <c r="R34" i="13"/>
  <c r="J46" i="4"/>
  <c r="J38" i="4"/>
  <c r="R40" i="6"/>
  <c r="W37" i="6"/>
  <c r="W23" i="6"/>
  <c r="J34" i="4"/>
  <c r="J30" i="4"/>
  <c r="J12" i="4"/>
  <c r="L23" i="12"/>
  <c r="R60" i="6"/>
  <c r="W34" i="13"/>
  <c r="W36" i="13" s="1"/>
  <c r="W44" i="6"/>
  <c r="W12" i="6"/>
  <c r="V68" i="6"/>
  <c r="W68" i="6" s="1"/>
  <c r="I74" i="4"/>
  <c r="N11" i="12"/>
  <c r="N6" i="12"/>
  <c r="N12" i="12"/>
  <c r="N22" i="12"/>
  <c r="N14" i="12"/>
  <c r="N4" i="12"/>
  <c r="N15" i="12"/>
  <c r="L10" i="12"/>
  <c r="N16" i="12"/>
  <c r="N13" i="12"/>
  <c r="N8" i="12"/>
  <c r="J33" i="4"/>
  <c r="J29" i="4"/>
  <c r="J42" i="4"/>
  <c r="J35" i="4"/>
  <c r="J3" i="4"/>
  <c r="J10" i="4"/>
  <c r="J2" i="4"/>
  <c r="G74" i="4"/>
  <c r="J36" i="4"/>
  <c r="J26" i="4"/>
  <c r="J24" i="4"/>
  <c r="J22" i="4"/>
  <c r="J8" i="4"/>
  <c r="J4" i="4"/>
  <c r="H74" i="4"/>
  <c r="J25" i="4"/>
  <c r="J23" i="4"/>
  <c r="J21" i="4"/>
  <c r="J16" i="4"/>
  <c r="J9" i="4"/>
  <c r="J5" i="4"/>
  <c r="N24" i="12" l="1"/>
  <c r="L24" i="12"/>
  <c r="S36" i="13"/>
  <c r="J74" i="4"/>
</calcChain>
</file>

<file path=xl/sharedStrings.xml><?xml version="1.0" encoding="utf-8"?>
<sst xmlns="http://schemas.openxmlformats.org/spreadsheetml/2006/main" count="2777" uniqueCount="424">
  <si>
    <t>site</t>
  </si>
  <si>
    <t>tamanho da empresa, dado pelo tamanho do ativo (valor do ativo total) 2017</t>
  </si>
  <si>
    <t>tamanho da empresa, dado pelo tamanho do ativo (valor do ativo total) 2018</t>
  </si>
  <si>
    <t>forma jurídica: 1= associação; 2= fundação</t>
  </si>
  <si>
    <t>Cidade/estado</t>
  </si>
  <si>
    <t>São Paulo/SP</t>
  </si>
  <si>
    <t>Instituto Ramacrisna</t>
  </si>
  <si>
    <t>https://www.ramacrisna.org.br/</t>
  </si>
  <si>
    <t>Betim/MG</t>
  </si>
  <si>
    <t>TETO Brasil</t>
  </si>
  <si>
    <t>tamanho da empresa, dado pelo tamanho do ativo (valor do ativo total) 2019</t>
  </si>
  <si>
    <t>tamanho da empresa, dado pelo tamanho do ativo (valor do ativo total) 2020</t>
  </si>
  <si>
    <t>Melhores ONGs 2017 - https://epoca.oglobo.globo.com/brasil/noticia/2017/08/vocacao-encabeca-guia-de-melhores-ongs-do-brasil.html</t>
  </si>
  <si>
    <t>www.visaomundial.org</t>
  </si>
  <si>
    <t>Visão Mundial - VMB</t>
  </si>
  <si>
    <t>Ano de fundação no Brasil</t>
  </si>
  <si>
    <t>Idade em anos em 2021</t>
  </si>
  <si>
    <t>Belo Horizonte/MG</t>
  </si>
  <si>
    <t>www.unas.org.br</t>
  </si>
  <si>
    <t>União de Núcleos, Associações dos Moradores de Heliópolis e Região</t>
  </si>
  <si>
    <t>Heliópolis/SP</t>
  </si>
  <si>
    <t>www.teto.org.br</t>
  </si>
  <si>
    <t>Fontes Internacionais - publicação somente da DRE dentro do Relatório de Atividades - exercício social não coincide com o ano civil - 01/10 a 30/09</t>
  </si>
  <si>
    <t>Indivíduos - sem publicação de relatórios de atividades, nem DF, somente um gráfico com as informações  de receita e despesa de 2021</t>
  </si>
  <si>
    <t>http://turmadobem.org.br</t>
  </si>
  <si>
    <t>Turma do Bem</t>
  </si>
  <si>
    <t>www.sosma.org.br</t>
  </si>
  <si>
    <t>SOS Mata Atlântica</t>
  </si>
  <si>
    <t>www.wimbelemdon.com.br</t>
  </si>
  <si>
    <t>Sociedade Tênis Educação e Participação Social – STEPS</t>
  </si>
  <si>
    <t>Porto Alegre/RS</t>
  </si>
  <si>
    <t>www.sitawi.net</t>
  </si>
  <si>
    <t>SITAWI Finanças do Bem</t>
  </si>
  <si>
    <t>www.saudecrianca.org.br</t>
  </si>
  <si>
    <t>Associação Saúde Criança Renascer - ASC - Instituto Dara</t>
  </si>
  <si>
    <t>Rio de Janeiro/RJ</t>
  </si>
  <si>
    <t>www.santacasabh.org.br</t>
  </si>
  <si>
    <t>Santa Casa de Misericórdia de Belo Horizonte</t>
  </si>
  <si>
    <t>www.remansofraterno.org.br</t>
  </si>
  <si>
    <t>Remanso Fraterno</t>
  </si>
  <si>
    <t>www.redefemininasbo.org.br</t>
  </si>
  <si>
    <t>Rede Feminina de Combate ao Câncer de Santa Bárbara D'Oeste</t>
  </si>
  <si>
    <t>Santa Bárbara D'oeste/SP</t>
  </si>
  <si>
    <t>www.redecidada.org.br</t>
  </si>
  <si>
    <t>Rede Cidadã</t>
  </si>
  <si>
    <t>Venda de produtos/serviços - BP e DRE encontrados juntamente com os Relatórios de Atividades</t>
  </si>
  <si>
    <t>www.plan.org.br</t>
  </si>
  <si>
    <t>Plan International Brasil</t>
  </si>
  <si>
    <t>São Luís/MA</t>
  </si>
  <si>
    <t>Pequeno Cotolengo do Paraná - Dom Orione</t>
  </si>
  <si>
    <t>www.pequenocotolengo.org.br</t>
  </si>
  <si>
    <t>Curitiba/PR</t>
  </si>
  <si>
    <t>www.pequenacasa.org.br</t>
  </si>
  <si>
    <t>Pequena Casa da Criança</t>
  </si>
  <si>
    <t>www.operacaosorriso.org.br</t>
  </si>
  <si>
    <t>Operação Sorriso Brasil</t>
  </si>
  <si>
    <t>Empresas - DF completas e Relatórios de Atividades de todos os anos, inclusive DF em inglês - muito organizado o site</t>
  </si>
  <si>
    <t>www.parceirosvoluntarios.org.br</t>
  </si>
  <si>
    <t>Parceiros Voluntários</t>
  </si>
  <si>
    <t>www.museudefavela.org</t>
  </si>
  <si>
    <t>Museu de Favela</t>
  </si>
  <si>
    <t>Venda de produtos/serviços - BP e DRE não encontrados, nem mesmo os Relatórios de Atividades</t>
  </si>
  <si>
    <t>Venda de produtos e serviços - DF e RA encontrados, muitas outras informações tb</t>
  </si>
  <si>
    <t>www.ides-sc.org.br</t>
  </si>
  <si>
    <t>Irmandade do Divino Espírito Santo- mantenedora da Promenor (Associação Promocional do Menor Trabalhador</t>
  </si>
  <si>
    <t>Venda de produtos e serviços - DF e RA encontrados, sendo utilizado as DF da Irmandade</t>
  </si>
  <si>
    <t>Florianópolis/SC</t>
  </si>
  <si>
    <t>www.tdhbrasil.org</t>
  </si>
  <si>
    <t xml:space="preserve">Fontes Internacionais - não possui DF nem Relatórios de Atividades com dados financeiros - informações até 2019 </t>
  </si>
  <si>
    <t>www.socioambiental.org</t>
  </si>
  <si>
    <t>Instituto Socioambiental - ISA</t>
  </si>
  <si>
    <t>Fontes Internacionais - DF e RA todos encontrados, site bem completo, inclusive com versões em inglês do RA</t>
  </si>
  <si>
    <t>Receita de trabalho voluntário 2017, que na despesa é deduzido pelo mesmo valor contabilizado na receita</t>
  </si>
  <si>
    <t>Receita de trabalho voluntário 2018, que na despesa é deduzido pelo mesmo valor contabilizado na receita</t>
  </si>
  <si>
    <t>Receita de trabalho voluntário 2019, que na despesa é deduzido pelo mesmo valor contabilizado na receita</t>
  </si>
  <si>
    <t>Receita de trabalho voluntário 2020, que na despesa é deduzido pelo mesmo valor contabilizado na receita</t>
  </si>
  <si>
    <t>Despesa com captação de fundos 2017, quando disponibilizado o valor em uma conta específica na DRE</t>
  </si>
  <si>
    <t>Despesa com captação de fundos 2018, quando disponibilizado o valor em uma conta específica na DRE</t>
  </si>
  <si>
    <t>Despesa com captação de fundos 2019, quando disponibilizado o valor em uma conta específica na DRE</t>
  </si>
  <si>
    <t>Despesa com captação de fundos 2020, quando disponibilizado o valor em uma conta específica na DRE</t>
  </si>
  <si>
    <t>Total do Ativo Permanente 2017, que inclui Investimentos Imobilizado e Intangível (menos Realizável a longo prazo)</t>
  </si>
  <si>
    <t>Total do Ativo Permanente 2018, que inclui Investimentos Imobilizado e Intangível (menos Realizável a longo prazo)</t>
  </si>
  <si>
    <t>Total do Ativo Permanente 2019, que inclui Investimentos Imobilizado e Intangível (menos Realizável a longo prazo)</t>
  </si>
  <si>
    <t>Total do Ativo Permanente 2020, que inclui Investimentos Imobilizado e Intangível (menos Realizável a longo prazo)</t>
  </si>
  <si>
    <t>www.institutoronald.org.br</t>
  </si>
  <si>
    <t>Eventos - DF e RA encontrados - muitas informações disponíveis</t>
  </si>
  <si>
    <t>www.reciclar.org.br</t>
  </si>
  <si>
    <t>Instituto Ronald McDonald</t>
  </si>
  <si>
    <t xml:space="preserve">Instituto de Reciclagem do Adolescente - Instituto Reciclar </t>
  </si>
  <si>
    <t>Indivíduos - DF e RA encontrados, muitas informações importantes, auditoria da KPMG</t>
  </si>
  <si>
    <t>www.institutoreacao.org.br</t>
  </si>
  <si>
    <t>Instituto Reação</t>
  </si>
  <si>
    <t>www.promundo.org.br</t>
  </si>
  <si>
    <t>ProMundo</t>
  </si>
  <si>
    <t>www.ipcc.org.br</t>
  </si>
  <si>
    <t>Governo - DF e RA não encontrados, site sem qualquer informação do andamento das atividades- desatualizado</t>
  </si>
  <si>
    <t>www.institutophi.org.br</t>
  </si>
  <si>
    <t>Instituto Phi - Philantropia Inteligente</t>
  </si>
  <si>
    <t>Empresas- DF (com exceção de 2017) e RA e Balanços financeiros encontrados de todos os anos, site muito completo</t>
  </si>
  <si>
    <t>www.idis.org.br</t>
  </si>
  <si>
    <t>IDIS -  Instituto para o Desenvolvimento do Investimento Social</t>
  </si>
  <si>
    <t>Empresas - Ra ccom DF compleas de todos os anos, site com muitas informações</t>
  </si>
  <si>
    <t>www.redeivg.org.br</t>
  </si>
  <si>
    <t xml:space="preserve">Rede IVG - Instituto Pe. Vilson Groh </t>
  </si>
  <si>
    <t>www.institutoolgakos.org.br</t>
  </si>
  <si>
    <t>Governo - não possuem DF publicadas, somente RA completos com dados financeiros de receita e aplicação de recursos nos projetos, que estão bem desenhados e com prestação de contas em relatórios próprios</t>
  </si>
  <si>
    <t>www.minaspelapaz.org.br</t>
  </si>
  <si>
    <t>Instituto Minas pela Paz</t>
  </si>
  <si>
    <t>Empresas - DF e RA encontrados, site bom, mas falta modernizar visualmente, não encontrado Estatuto</t>
  </si>
  <si>
    <t>www.ilm.org.br</t>
  </si>
  <si>
    <t>Instituto Luisa Mell</t>
  </si>
  <si>
    <t>Indivíduos e empresas - site sem nenhuma informação financeira, nem mesmo RA, somente um certificado de auditoria independente de 2019 e 2020.</t>
  </si>
  <si>
    <t>www.institutojatobas.org.br</t>
  </si>
  <si>
    <t xml:space="preserve">Instituto Jatobás </t>
  </si>
  <si>
    <t>Indivíduos - DF 2019/2018 encontrados, RA de 2017-2019 feito de forma conjunta com BP e DRE inclusas, sem informações de 2020. Site muito bom, mas faltam informações tempestivas.</t>
  </si>
  <si>
    <t>nc</t>
  </si>
  <si>
    <t>www.igk.org.br</t>
  </si>
  <si>
    <t>Instituto Guga Kuerten</t>
  </si>
  <si>
    <t>Governo - RA encontrados em todos os anos com BP e DRE , DF completas de 2020 faltando os de 2017, 2018 e 2019, site bom</t>
  </si>
  <si>
    <t>www.fazendohistoria.org.br</t>
  </si>
  <si>
    <t>Instituto Fazendo História</t>
  </si>
  <si>
    <t>Governo -DF e RA encontrados, somente DF de 2020 auditada que ainda não foi publicado, mas DF incompletas, sem DFC e notas explicativas, site com alguns problemas de acesso, mas bom</t>
  </si>
  <si>
    <t>www.institutoelos.org</t>
  </si>
  <si>
    <t>Instituto Elos</t>
  </si>
  <si>
    <t>Santos/SP</t>
  </si>
  <si>
    <t>www.ekloos.org</t>
  </si>
  <si>
    <t>Instituto Ekloos</t>
  </si>
  <si>
    <t>Governo - não possui DF nem RA publicados - site moderno mas sem informações financeiras</t>
  </si>
  <si>
    <t>www.ici-rs.org.br</t>
  </si>
  <si>
    <t>Instituto do Câncer Infantil</t>
  </si>
  <si>
    <t>Indivíduos - DF completas e RA muito bem elaborados com as DF dentro, site muito informativo e de fácil navegação - faz separação com e sem restrição mas somente nos anos de 2019 e 2020</t>
  </si>
  <si>
    <t>www.ipti.org.br</t>
  </si>
  <si>
    <t xml:space="preserve"> Instituto de Pesquisas em Tecnologia e Inovação – IPTI </t>
  </si>
  <si>
    <t>Empresas - DF completas com auditoria encontrados, RA dos anos 2019, 2018-2017, falta o de 2020, site bom mas navegação não tão boa</t>
  </si>
  <si>
    <t>Santa Luzia do Itanhy/SE</t>
  </si>
  <si>
    <t>www.ipe.org.br</t>
  </si>
  <si>
    <t>Nazaré Paulista/SP</t>
  </si>
  <si>
    <t>IPÊ - Instituto de Pesquisas Ecológicas</t>
  </si>
  <si>
    <t>Fontes Internacionais - DF completas e RA encontrados, site muito bem elaborado- receita de voluntariado só em 2020</t>
  </si>
  <si>
    <t>www.spvs.org.br</t>
  </si>
  <si>
    <t>SPVS - Sociedade de Pesquisa em Vida Selvagem e Educação Ambiental</t>
  </si>
  <si>
    <t>Fontes Internacionais - RA com BP e DRE, não possui DF completas e está sem o RA de 2020, site bom</t>
  </si>
  <si>
    <t>www.imaflora.org</t>
  </si>
  <si>
    <t>Imaflora - Instituto de Manejo e Certificação Florestal e Agrícola</t>
  </si>
  <si>
    <t>Piracicaba/SP</t>
  </si>
  <si>
    <t>www.idesam.org.br</t>
  </si>
  <si>
    <t>IDESAM - Insituto de Conservação e Desenvolvimento Sustentável da Amazônia</t>
  </si>
  <si>
    <t>Manaus/AM</t>
  </si>
  <si>
    <t>Fontes Internacionais - DF completas encontradas com exceção de 2020 (somente DRE) -  RA e outros relatórios encontrados - site bom necessitando ajustes como na divulgação de DF</t>
  </si>
  <si>
    <t>Venda de produtos e serviços- todas DF e RA encontrados com Balnço Social e demais informações, site completo e bom de manusear - separação de receitas com e sem restrição somente em 2019 e 2020</t>
  </si>
  <si>
    <t>www.iprede.org.br</t>
  </si>
  <si>
    <t xml:space="preserve">IPREDE - Instituto da Primeira Infância </t>
  </si>
  <si>
    <t>Indivíduos - RA encontrados desde 2017 até 2020 - BP e DRE somente de 2020, site ainda muito amador, como os RA</t>
  </si>
  <si>
    <t>www.icomfloripa.org.br</t>
  </si>
  <si>
    <t>ICOM - Instituto Comunitário Grande Florianópolis</t>
  </si>
  <si>
    <t>www.institutoc.org.br</t>
  </si>
  <si>
    <t>Instituto C</t>
  </si>
  <si>
    <t>Empresas - DF completas com auditoria (mas precisam ser melhor detalhadas e organizadas (faltou DRE 2017) , RA de todos os anos e diversos outros documentos, site completo e muito moderno</t>
  </si>
  <si>
    <t>Indivíduos -  DF completas e RA de todos os anos, site muito bom e profissional commo seus relatórios, muitas informações divulgadas</t>
  </si>
  <si>
    <t>www.institutoayrtonsenna.org.br</t>
  </si>
  <si>
    <t>Instituto Ayrton Senna</t>
  </si>
  <si>
    <t>Venda de produtos e serviços - Site profissional com todos os RA publicados com informações financeiras, sem DF publicadas nem auditadas</t>
  </si>
  <si>
    <t>www.akatu.org.br</t>
  </si>
  <si>
    <t>Instituto AKATU</t>
  </si>
  <si>
    <t>www.padreharoldo.org.br</t>
  </si>
  <si>
    <t>Instituição Padre Haroldo Rahm</t>
  </si>
  <si>
    <t>Campinas/SP</t>
  </si>
  <si>
    <t>www.lardemaria.org.br</t>
  </si>
  <si>
    <t>Instituição Beneficente Lar de Maria - IBML</t>
  </si>
  <si>
    <t>Governo - DF completas com auditoria e RA todos encontrados, RA precisam de aprimoramento, site com boas informações mas precisa modernizar. Sem estatuto</t>
  </si>
  <si>
    <t>Indivíduos - DF completas e RA encontrados, RA precisam evoluir, mas o site é de fácil manipulação, outras informações encontradas como estatuto</t>
  </si>
  <si>
    <t>Santo André/SP</t>
  </si>
  <si>
    <t>https://www.instituicaodrklaide.org.br/</t>
  </si>
  <si>
    <t>INSTITUICAO ASSISTENCIAL E EDUCACIONAL DR KLAIDE</t>
  </si>
  <si>
    <t xml:space="preserve">Governo - DF completas e RA de todos os anos, exceto 2020 (somente BP), site confuso, muitas informações soltas </t>
  </si>
  <si>
    <t>www.salesianos.br</t>
  </si>
  <si>
    <t>Inspetoria São João Bosco - ISJB</t>
  </si>
  <si>
    <t xml:space="preserve">Venda de produtos e serviços - DF completas encontradas e tb RA, mas são ainda amadores, somente informações quali e quanti em forma de texto, mas site com muitas informações </t>
  </si>
  <si>
    <t>www.hospitalsaofrancisco.org.br</t>
  </si>
  <si>
    <t>Venda de produtos e serviços - DF completas desde 2018 com RA, de 2017 pra trás RA com BP e DRE, site bem completo</t>
  </si>
  <si>
    <t>Hospital São Francisco de Assis - Associação Casa Fonte da Vida</t>
  </si>
  <si>
    <t>Jacareí/SP</t>
  </si>
  <si>
    <t>www.grupovidabrasil.org.br</t>
  </si>
  <si>
    <t>Grupo Vida Brasil</t>
  </si>
  <si>
    <t>Governo - DF completas encontradas. RA incompletos e segregados, ainda amador. Mas site com muitas informações pertinenetes.</t>
  </si>
  <si>
    <t>Barueri/SP</t>
  </si>
  <si>
    <t>www.graacc.org.br</t>
  </si>
  <si>
    <t>GRAAC - Grupo de Apoio ao Adolescente e Criança com Câncer</t>
  </si>
  <si>
    <t>Indivíduos - RA completas com DF dentro, site bem completo e profissional, assim como os RA</t>
  </si>
  <si>
    <t>www.wwf.org.br</t>
  </si>
  <si>
    <t>WWF - Brasil (Fundo Mundial para a Natureza)</t>
  </si>
  <si>
    <t>Fontes Internacionais - DF e RA completos, site completo e profissional</t>
  </si>
  <si>
    <t>Brasília/DF</t>
  </si>
  <si>
    <t>www.furc.org.br</t>
  </si>
  <si>
    <t>Fundação Regina Cunha</t>
  </si>
  <si>
    <t>Itabuna/BA</t>
  </si>
  <si>
    <t>www.goldeletra.org.br</t>
  </si>
  <si>
    <t>Fundação Gol de Letra</t>
  </si>
  <si>
    <t xml:space="preserve">Empresas - DF completas e RA de todos os anos (menos 2020), muitas informações, site profissional </t>
  </si>
  <si>
    <t>www.estudar.org.br</t>
  </si>
  <si>
    <t>Venda de produtos e serviços - RA de todos os anos encontrados com dados mas sem DF</t>
  </si>
  <si>
    <t>www.fundacaodorina.org.br</t>
  </si>
  <si>
    <t>Fundação Dorina Nowill para cegos</t>
  </si>
  <si>
    <t>Empresas - DF completas e RA até 2019, 2020 só relatório sem DF, site com muitas informações, mas ainda necessita melhoras</t>
  </si>
  <si>
    <t>www.fas-amazonas.org</t>
  </si>
  <si>
    <t>Fundação Amazônia Sustentável</t>
  </si>
  <si>
    <t>Fontes Internacionais - DF completas e RA, encontrado Relato Integrado , site e informações profissionais, excelente</t>
  </si>
  <si>
    <t>www.fadc.org.br</t>
  </si>
  <si>
    <t>Fundação Abrinq</t>
  </si>
  <si>
    <t>Indivíduos - DF completas e RA, encontrado Relato Integrado , site e informações profissionais, excelente</t>
  </si>
  <si>
    <t>www.espacofeliz.org.br</t>
  </si>
  <si>
    <t>Espaço Feliz</t>
  </si>
  <si>
    <t>Santa Rosa/RS</t>
  </si>
  <si>
    <t>www.doutoresdaalegria.org.br</t>
  </si>
  <si>
    <t>Doutores da Alegria</t>
  </si>
  <si>
    <t>Indivíduos - DF completasa mas com DOAR ao invés de DF, menos de 2020, RA tb encontrados entre outras informações importantes, mas falta ainda profissionalismo no site e nos relatórios</t>
  </si>
  <si>
    <t>www.childfundbrasil.org.br</t>
  </si>
  <si>
    <t>ChildFund Brasil (Fundo Cristão para Crianças)</t>
  </si>
  <si>
    <t>www.cpti.org.br</t>
  </si>
  <si>
    <t>Centro Promocional Tia Ileide</t>
  </si>
  <si>
    <t>Governo - sem DF somente Balanços Sociais (RA) dos anos com DRE (fluxo de caixa), site precisa de melhorias, RA até bons</t>
  </si>
  <si>
    <t>www.cerene.org.br</t>
  </si>
  <si>
    <t>Cerene - Centro de Recuperação Nova Esperança</t>
  </si>
  <si>
    <t>Blumenau/SC</t>
  </si>
  <si>
    <t>www.clp.org.br</t>
  </si>
  <si>
    <t>Centro de Liderança Pública</t>
  </si>
  <si>
    <t>www.cenpec.org.br</t>
  </si>
  <si>
    <t>CENPEC - Centro de Estudos e Pesquisas em Educação, Cultura e Ação Comunitária</t>
  </si>
  <si>
    <t xml:space="preserve">Empresas - DF complementas de 2018 e 2019 (2020 não existe e 2017 valores em 2018) , RA por vídeo somente de 2020). Site falta aprimoramento </t>
  </si>
  <si>
    <t>Empresas - DF compleras e RA de todos os anos. Site muito profissional.  Informações faltando detalhamento (DRE)</t>
  </si>
  <si>
    <t>www.cadi.org.br</t>
  </si>
  <si>
    <t>CADI Brasil - Centro de Assistência e Desenvolvimento Integral</t>
  </si>
  <si>
    <t>www.casadozezinho.org.br</t>
  </si>
  <si>
    <t>Casa do Zezinho</t>
  </si>
  <si>
    <t>Governo - DF completas somente de 2020. 2017, 2018 e 2019 BP e DRE (sendo 2018 falta DRE). Site e relatório falta profissionalismo.</t>
  </si>
  <si>
    <t>Empresas - BP e DRE somente de 2018, não tem publicação de DF de anos anteriores (2017) e 2019 e 2020 somente balancete. RA de todos os anos, falta profissionalizar relatórios e site. Estatuto não disponível</t>
  </si>
  <si>
    <t>www.casadurvalpaiva.org.br</t>
  </si>
  <si>
    <t>Casa Durval Paiva</t>
  </si>
  <si>
    <t>Indivíduos - DF completas e RA encontrados de todos os anos - site e relatórios profissionais</t>
  </si>
  <si>
    <t>Natal/RN</t>
  </si>
  <si>
    <t>www.bancodaprovidencia.org.br</t>
  </si>
  <si>
    <t>Banco da Providência</t>
  </si>
  <si>
    <t>Eventos - DF completas somente de 2020 (saldo de 2019), RA encontrados de todos os anos. Site bom e relatórios tb. DF somente a publicação em diário oficial</t>
  </si>
  <si>
    <t>www.bairrodajuventude.org.br</t>
  </si>
  <si>
    <t>Bairro da Juventude</t>
  </si>
  <si>
    <t>Criciúma/SC</t>
  </si>
  <si>
    <t>Empresas - RA de todos os anos com BP e DRE contidos. Sem DF completas publicadas, sem estatuto. Site e relatórios bons mas precisam de melhoria</t>
  </si>
  <si>
    <t>www.vagalume.org.br</t>
  </si>
  <si>
    <t>Associação Vagalume</t>
  </si>
  <si>
    <t>Empresas - DF completas e RA de todos os anos. Site e relatórios profissionais</t>
  </si>
  <si>
    <t>www.sosamazonia.org.br</t>
  </si>
  <si>
    <t>SOS Amazônia</t>
  </si>
  <si>
    <t>Governo - DF completas de 2019 e 2020, RA de todos os anos com BP e DRE (2017 e 2018). Site e relatórios profissionais.</t>
  </si>
  <si>
    <t>Rio Branco/AC</t>
  </si>
  <si>
    <t>www.asa-santoagostinho.org.br</t>
  </si>
  <si>
    <t>ASA - Associação Santo Agostinho</t>
  </si>
  <si>
    <t>Governo - DF completas e RA encontrados de todos os anos. Site e relatórios profissionais</t>
  </si>
  <si>
    <t>www.tucca.org.br</t>
  </si>
  <si>
    <t>Tucca - Associação para Crianças e Adolescentes com Cancêr</t>
  </si>
  <si>
    <t>Empresas - RA de todos os anos com BP e DRE contidos. Sem DF completas publicadas. Site e relatórios bons.</t>
  </si>
  <si>
    <t>www.amr.org.br</t>
  </si>
  <si>
    <t>AMR - Associação Mineira de Reabilitação</t>
  </si>
  <si>
    <t>Governo - DF completas e RA de todos os anos. Site e relatórios bons mas precisam de melhorias</t>
  </si>
  <si>
    <t>www.lutapelapaz.org</t>
  </si>
  <si>
    <t>Associação Luta pela Paz - LPP</t>
  </si>
  <si>
    <t>Fontes internacionais - DF completas e RA de todos os anos. Site e relatórios bons e profissionais</t>
  </si>
  <si>
    <t>https://asiloirmaojoaquim.org.br/</t>
  </si>
  <si>
    <t>Venda de produtos e serviços - sem DF e sem RA - site muito básico sem informações atualizadas, não profissional</t>
  </si>
  <si>
    <t>Asilo Irmão Joaquim</t>
  </si>
  <si>
    <t>www.ahpas.org.br</t>
  </si>
  <si>
    <t>AHPAS - Associação Helena Piccardi de Andrade Silva</t>
  </si>
  <si>
    <t>Venda de produtos e serviços - DF completas encontradas somente no site a de 2020/2019 como o RA, as DF foram encontradas pelo google. Site profissional e relatórios tb</t>
  </si>
  <si>
    <t>www.habitatbrasil.org.br</t>
  </si>
  <si>
    <t>Recife/PE</t>
  </si>
  <si>
    <t>Habitat Brasil - Associação Habitat para a Humanidade Brasil (Recife/PE) e Associação Internacional Habitat para a Humanidade (São Paulo/SP)</t>
  </si>
  <si>
    <t>Governo - DF completas e RA encontrados no site de todos os anos. Site e relatórios profissionais - Resultados consolidados dos 2 CNPJs</t>
  </si>
  <si>
    <t>www.estacaoluz.org.br</t>
  </si>
  <si>
    <t>Associação Estação Luz</t>
  </si>
  <si>
    <t>Eusébio/CE</t>
  </si>
  <si>
    <t>www.sistemadivinaprovidencia.org</t>
  </si>
  <si>
    <t>Empresas -  RA com DF encontrados no site somente de 2020, 2018 achado no google. Site ruim de manusear e amador, precisa de atualização e arquivos de anos anteriores</t>
  </si>
  <si>
    <t>Sistema Divina Providência - 4 CNPJ diferentes - soma dos valores</t>
  </si>
  <si>
    <t>www.aacc.org.br</t>
  </si>
  <si>
    <t>AACC - Associação de Apoio à Criança com Câncer</t>
  </si>
  <si>
    <t>Indivíduos - BP e DRE e RA somente de 2020, mediante cadastro, sem arquivo de anos anteriores. Relatórios e site amadores</t>
  </si>
  <si>
    <t>www.brazilfoundation.org</t>
  </si>
  <si>
    <t>Brazil Foundation</t>
  </si>
  <si>
    <t>Eventos - DF cpmpletas e RA encontrados menos o de 2020 . Site e relatórios profissionais</t>
  </si>
  <si>
    <t>www.abrale.org.br</t>
  </si>
  <si>
    <t>Abrale - Associação Brasileira de Linfoma e Leucemia</t>
  </si>
  <si>
    <t>Empresas - DRE e BP e RA dos anos de 2020 e 2019, DF completas e RA dos anos anteriores (2018 pra trás), site e relatórios profissionais, apesar de faltar as DF completas dos últimos 2 anos</t>
  </si>
  <si>
    <t>www.aliancaempreendedora.org.br</t>
  </si>
  <si>
    <t>Aliança Empreendedora</t>
  </si>
  <si>
    <t>Empresas - DF e RA com links que não abrem, somente o RA de 2020 abriu mas sem DF. Nem o estatuto abriu. Site defasado.</t>
  </si>
  <si>
    <t>www.apaeaps.org.br</t>
  </si>
  <si>
    <t>Apae Anápolis - Associação de Pais e Amigos dos Excepcionais de Anápolis</t>
  </si>
  <si>
    <t>Governo - DF completas e RA encontrados. Site e relatórios profissionais</t>
  </si>
  <si>
    <t>Anápolis/GO</t>
  </si>
  <si>
    <t>www.amigosdobem.org</t>
  </si>
  <si>
    <t>Indivíduos - DF completas e RA encontrados, RA precisam evoluir, mas o site é bom e outras informações foram encontradas como o estatuto</t>
  </si>
  <si>
    <t>Amigos do Bem - Instituição Nacional contra a fome e a miséria</t>
  </si>
  <si>
    <t>www.crechealvorada.org</t>
  </si>
  <si>
    <t>Governo - BP e DRE e Balancete e Estatuto encontrados somente de 2020, sem arquivos de anos anteriores, somente prestação de contas para secretarias de forma individualizada. Site e relatórios ainda amadores.</t>
  </si>
  <si>
    <t>www.aldeiasinfantis.org.br</t>
  </si>
  <si>
    <t>Aldeias Infantis SOS Brasil</t>
  </si>
  <si>
    <t>www.actionaid.org.br</t>
  </si>
  <si>
    <t>Indivíduos - somente encontrados os relatórios anuais dos anos de 2020 e 2019 com informações financeiras e sem DF completas e foi encontrado  compilado de todas as unidades da actionaid no mundo de 2018 (que possui df completas).</t>
  </si>
  <si>
    <t>www.asidbrasil.org.br</t>
  </si>
  <si>
    <t>ASID - Ação Social para Igualdade das Diferenças</t>
  </si>
  <si>
    <t>Governo - BP e DRE encontrados em todos so anos, somente no ano de 2019 foi encontrado DFC e NE. RA de todos os anos encontrados. No ano de 2020 somente DRE, sem BP. Site bom mas precisa de melhorias. RA bons.</t>
  </si>
  <si>
    <t>www.vocacao.org.br</t>
  </si>
  <si>
    <t>Vocação - Ação Comunitária do Brasil</t>
  </si>
  <si>
    <t>www.abrace.com.br</t>
  </si>
  <si>
    <t>Abrace - Associação Brasileira de Assistência às Famílias de Crianças Portadoras de Câncer e Hemopatias</t>
  </si>
  <si>
    <t>Indivíduos - DF completas e RA encontrados de todos os anos. Site bom mas RA precisa aprimorar</t>
  </si>
  <si>
    <t>www.abcdnossacasa.org.br</t>
  </si>
  <si>
    <t>ABCD Nossa Casa – ASSOCIAÇÃO BENEFICENTE À CRIANÇA DESAMPARADA “NOSSA CASA</t>
  </si>
  <si>
    <t>Governo - DF completas e RA encontrados de todos os anos. Site e relatórios bons.</t>
  </si>
  <si>
    <t>Governo - não tem informações com valores, nem DF publicadas</t>
  </si>
  <si>
    <t>Governo - Publicação de DF completas - valores a receber, caixa e imobilizado separados em com e sem restrição</t>
  </si>
  <si>
    <t>Empresas - Publicação de Relatório de Atividades com um balanço financeiro, sem DF, com alguns dados financeiros. Site bom e RA profissional.</t>
  </si>
  <si>
    <t>Indivíduos - DF completas com Relatório de Atividades, com exceção das DF 2020|(que só tem RA com informações financeiras). RA de todos os anos. Site e RA bons.</t>
  </si>
  <si>
    <t>Empresas - Publicação de DF completas e RA de todos os anos foram encontrados. Site e RA profissionais</t>
  </si>
  <si>
    <t xml:space="preserve">Governo - DF completas mas dentro dos Relatórios de Atividades. </t>
  </si>
  <si>
    <t>Indivíduos - DF ainda amadoras e somente BP e DRE e Balancete - Relatório de Atividades 2020 melhor elaborado mas não encontrado em anos anteriores</t>
  </si>
  <si>
    <t>Projeto Âncora - Cidade Âncora</t>
  </si>
  <si>
    <t>https://cidadeancora.org.br/</t>
  </si>
  <si>
    <t>Cotia/SP</t>
  </si>
  <si>
    <t>Empresas - encontrados DF de 2016/2017/2018 somente , sem Relatório de Atividades em pdf somente do ano de 2018 no site - AVISO de reconstrução do site e agora virou Cidade Âncora com RA e DF dos anos de 2019 e 2020 e não possui dos anos anteriores, por isso falta o ano de .Site e relatórios se profissionalizando.</t>
  </si>
  <si>
    <t>Indivíduos - BP e DRE nos Relatórios de Atividades</t>
  </si>
  <si>
    <t>Indivíduos - DF completas dentro do Relatório de Atividades, site muito informativo</t>
  </si>
  <si>
    <t>Indivíduos - DF e Relatórios de Atividades não encontrados, somente link para pedir RA e DF de 2020 por email, cuja resposta não é imediata. Site sem profissionalismo.</t>
  </si>
  <si>
    <t>Empresas -  RA e DF completas encontradas no RA.</t>
  </si>
  <si>
    <t>Empresas - DF completas e RA de todos os anos encontrados. Site bom.</t>
  </si>
  <si>
    <t>Fontes Internacionais - DF não publicados somente um Relatório de Atividades para os últimos anos - 2016 a 2019 (único), mas só algumas informações financeiras- site com muitas informações faltantes</t>
  </si>
  <si>
    <t>Empresas - site muito bom RA e DF completas encontrados, mas DF de 2018 não abriu, não tinha 2020.</t>
  </si>
  <si>
    <t>Empresas - Publicação de DF completas de todos os anos. RA encontrados dos anos com exceção de 2020. Site e RA bons, mas necessitam de melhorias (no site, na navegação e disposição das informações)</t>
  </si>
  <si>
    <t>Indivíduos - Somente informações como fluxo de caixa, sem RA e sem DF completas. Site amador.</t>
  </si>
  <si>
    <t>Indivíduos - DF e RA encontrados, com exceção de 2020 (somente BP), site ainda amador, com informações soltas e faltantes, Receitas 2020 no RA como dado e não DRE</t>
  </si>
  <si>
    <t xml:space="preserve">Venda de produtos e serviços -  DF completos e RA encontrados, site precisa de modernização, auditoria 2020 em andamento </t>
  </si>
  <si>
    <t>Empresas - DF completas e RA de todos os anos, muitas informações, site profissional e atrativo.</t>
  </si>
  <si>
    <t>Indivíduos - DF de 2018 e 2019 completas. 2017 BP e Dre e Balancete, faltou 2020. RA muito amadores ainda. Site tb falta melhorar.</t>
  </si>
  <si>
    <t>Governo - DF completas e RA de 2019 a 2020, sem 2017 para trás, site bom e RA bons.</t>
  </si>
  <si>
    <r>
      <t xml:space="preserve">tamanho da empresa, dado pela receita total do ano 2017 (com/sem restrição de uso, incluindo receitas financeiras e outras receitas na DRE/balancete/RA) </t>
    </r>
    <r>
      <rPr>
        <i/>
        <sz val="11"/>
        <color theme="1"/>
        <rFont val="Calibri"/>
        <family val="2"/>
        <scheme val="minor"/>
      </rPr>
      <t>- o valor das receitas financeiras poderá ser substitutído pelo resultado financeiro se positivo, caso não haja informação separada nem na DRE nem nas NE</t>
    </r>
  </si>
  <si>
    <t>tamanho da empresa, dado pela receita total do ano 2018 (com/sem restrição de uso, incluindo receitas financeiras e outras receitas na DRE/balancete/RA) - o valor das receitas financeiras poderá ser substitutído pelo resultado financeiro se positivo, caso não haja informação separada nem na DRE nem nas NE</t>
  </si>
  <si>
    <t>tamanho da empresa, dado pela receita total do ano 2019 (com/sem restrição de uso, incluindo receitas financeiras e outras receitas na DRE/balancete/RA) - o valor das receitas financeiras poderá ser substitutído pelo resultado financeiro se positivo, caso não haja informação separada nem na DRE nem nas NE</t>
  </si>
  <si>
    <t>tamanho da empresa, dado pela receita total do ano 2020 (com/sem restrição de uso, incluindo receitas financeiras e outras receitas na DRE/balancete/RA) - o valor das receitas financeiras poderá ser substitutído pelo resultado financeiro se positivo, caso não haja informação separada nem na DRE nem nas NE</t>
  </si>
  <si>
    <r>
      <t xml:space="preserve">receitas financeiras na DRE 2017,  com a dedução das despesas financeiras, </t>
    </r>
    <r>
      <rPr>
        <i/>
        <sz val="11"/>
        <color theme="1"/>
        <rFont val="Calibri"/>
        <family val="2"/>
        <scheme val="minor"/>
      </rPr>
      <t>mas pode ser resultado financeiro líquido se positivo, se for negativo o valor é zerado</t>
    </r>
  </si>
  <si>
    <r>
      <t xml:space="preserve">receitas financeiras na DRE 2018,  com a dedução das despesas financeiras, </t>
    </r>
    <r>
      <rPr>
        <i/>
        <sz val="11"/>
        <color theme="1"/>
        <rFont val="Calibri"/>
        <family val="2"/>
        <scheme val="minor"/>
      </rPr>
      <t>mas pode ser resultado financeiro líquido se positivo, se for negativo o valor é zerado</t>
    </r>
  </si>
  <si>
    <r>
      <t xml:space="preserve">receitas financeiras na DRE 2019,  com a dedução das despesas financeiras, </t>
    </r>
    <r>
      <rPr>
        <i/>
        <sz val="11"/>
        <color theme="1"/>
        <rFont val="Calibri"/>
        <family val="2"/>
        <scheme val="minor"/>
      </rPr>
      <t>mas pode ser resultado financeiro líquido se positivo, se for negativo o valor é zerado</t>
    </r>
  </si>
  <si>
    <r>
      <t xml:space="preserve">receitas financeiras na DRE 2020,  com a dedução das despesas financeiras, </t>
    </r>
    <r>
      <rPr>
        <i/>
        <sz val="11"/>
        <color theme="1"/>
        <rFont val="Calibri"/>
        <family val="2"/>
        <scheme val="minor"/>
      </rPr>
      <t>mas pode ser resultado financeiro líquido se positivo, se for negativo o valor é zerado</t>
    </r>
  </si>
  <si>
    <t>Receita total com restrição (mesma fonte de tamanho da empresa dado pela receita total) de 2017, de acordo com a informação dada pela ONG na DRE/balancete/RA</t>
  </si>
  <si>
    <t>Receita total com restrição (mesma fonte de tamanho da empresa dado pela receita total) de 2018, de acordo com a informação dada pela ONG na DRE/balancete/RA</t>
  </si>
  <si>
    <t>Receita total com restrição (mesma fonte de tamanho da empresa dado pela receita total) de 2019, de acordo com a informação dada pela ONG na DRE/balancete/RA</t>
  </si>
  <si>
    <t>Receita total com restrição (mesma fonte de tamanho da empresa dado pela receita total) de 2020, de acordo com a informação dada pela ONG na DRE/balancete/RA</t>
  </si>
  <si>
    <t>Receita total sem restrição (mesma fonte de tamanho da empresa dado pela receita total) de 2017, de acordo com a informação dada pela ONG na DRE/balancete/RA</t>
  </si>
  <si>
    <t>Receita total sem restrição (mesma fonte de tamanho da empresa dado pela receita total) de 2018, de acordo com a informação dada pela ONG na DRE/balancete/RA</t>
  </si>
  <si>
    <t>Receita total sem restrição (mesma fonte de tamanho da empresa dado pela receita total) de 2019, de acordo com a informação dada pela ONG na DRE/balancete/RA</t>
  </si>
  <si>
    <t>Receita total sem restrição (mesma fonte de tamanho da empresa dado pela receita total) de 2020, de acordo com a informação dada pela ONG na DRE/balancete/RA</t>
  </si>
  <si>
    <t>setor de atuação: 1= Assistência social; 2= Cultura, arte, esporte e recreação; 3= Saúde; 4= Meio ambiente e proteção animal; 5= Desenvolvimento e defesa de direitos; 6= Habitação; 7= Educação e Pesquisa; 8= Religião; 9= associações patronais, profissionais, empresariais e de produtores rurais; 10= outras associações e fundações. CLASSIFICAÇÃO DADA PELO IBGE (2016)</t>
  </si>
  <si>
    <t>Cor que significa que não possui dados de forma alguma e que deve ser excluído da amostra</t>
  </si>
  <si>
    <t>Cor que significa que falta algum dado de algum ano, ou mesmo alguma observação sobre as informações coletadas, que pode ser utilizado de forma parcial como parte da amostra</t>
  </si>
  <si>
    <r>
      <rPr>
        <b/>
        <sz val="11"/>
        <color theme="1"/>
        <rFont val="Calibri"/>
        <family val="2"/>
        <scheme val="minor"/>
      </rPr>
      <t>nc -</t>
    </r>
    <r>
      <rPr>
        <sz val="11"/>
        <color theme="1"/>
        <rFont val="Calibri"/>
        <family val="2"/>
        <scheme val="minor"/>
      </rPr>
      <t xml:space="preserve"> significa que não foi achada a informação, não quer dizer que o valor é zero. Os espaços em branco são informações que a ONG não possuía e onde está zero é valor zero mesmo.</t>
    </r>
  </si>
  <si>
    <t>Informações adicionais coletadas das ONGs, com exceção das ONGs que não possuíam nenhum dado, essas informações não foram coletadas.</t>
  </si>
  <si>
    <r>
      <t xml:space="preserve">Principal fonte de financiamento (dea cordo com a informação do Prêmio Melhores ONGs 2017) </t>
    </r>
    <r>
      <rPr>
        <b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informações sobre a busca nos sites</t>
    </r>
  </si>
  <si>
    <t>2017/2018</t>
  </si>
  <si>
    <t>2018/2019</t>
  </si>
  <si>
    <t>2019/2020</t>
  </si>
  <si>
    <t>Média</t>
  </si>
  <si>
    <t>ABCD Nossa Casa – ASSOCIAÇÃO BENEFICENTE À CRIANÇA DESAMPARADA “NOSSA CASA"</t>
  </si>
  <si>
    <r>
      <t xml:space="preserve">Associação Saúde Criança Renascer - ASC - </t>
    </r>
    <r>
      <rPr>
        <b/>
        <sz val="11"/>
        <color theme="1"/>
        <rFont val="Calibri"/>
        <family val="2"/>
        <scheme val="minor"/>
      </rPr>
      <t>Instituto Dara</t>
    </r>
  </si>
  <si>
    <r>
      <t xml:space="preserve">Projeto Âncora - </t>
    </r>
    <r>
      <rPr>
        <b/>
        <sz val="11"/>
        <color theme="1"/>
        <rFont val="Calibri"/>
        <family val="2"/>
        <scheme val="minor"/>
      </rPr>
      <t>Cidade Âncora</t>
    </r>
  </si>
  <si>
    <r>
      <rPr>
        <b/>
        <sz val="11"/>
        <color theme="1"/>
        <rFont val="Calibri"/>
        <family val="2"/>
        <scheme val="minor"/>
      </rPr>
      <t>Pequeno Cotolengo</t>
    </r>
    <r>
      <rPr>
        <sz val="11"/>
        <color theme="1"/>
        <rFont val="Calibri"/>
        <family val="2"/>
        <scheme val="minor"/>
      </rPr>
      <t xml:space="preserve"> do Paraná - Dom Orione</t>
    </r>
  </si>
  <si>
    <r>
      <rPr>
        <b/>
        <sz val="11"/>
        <color theme="1"/>
        <rFont val="Calibri"/>
        <family val="2"/>
        <scheme val="minor"/>
      </rPr>
      <t>Irmandade do Divino Espírito Santo</t>
    </r>
    <r>
      <rPr>
        <sz val="11"/>
        <color theme="1"/>
        <rFont val="Calibri"/>
        <family val="2"/>
        <scheme val="minor"/>
      </rPr>
      <t>- mantenedora da Promenor (Associação Promocional do Menor Trabalhador)</t>
    </r>
  </si>
  <si>
    <r>
      <t xml:space="preserve">Terre des hommes Lausanne no Brasil - </t>
    </r>
    <r>
      <rPr>
        <b/>
        <sz val="11"/>
        <color theme="1"/>
        <rFont val="Calibri"/>
        <family val="2"/>
        <scheme val="minor"/>
      </rPr>
      <t>TDH Brasil</t>
    </r>
  </si>
  <si>
    <r>
      <t>Instituto de Reciclagem do Adolescente -</t>
    </r>
    <r>
      <rPr>
        <b/>
        <sz val="11"/>
        <color theme="1"/>
        <rFont val="Calibri"/>
        <family val="2"/>
        <scheme val="minor"/>
      </rPr>
      <t xml:space="preserve"> Instituto Reciclar </t>
    </r>
  </si>
  <si>
    <r>
      <rPr>
        <b/>
        <sz val="11"/>
        <color theme="1"/>
        <rFont val="Calibri"/>
        <family val="2"/>
        <scheme val="minor"/>
      </rPr>
      <t>Pró-cidadania</t>
    </r>
    <r>
      <rPr>
        <sz val="11"/>
        <color theme="1"/>
        <rFont val="Calibri"/>
        <family val="2"/>
        <scheme val="minor"/>
      </rPr>
      <t xml:space="preserve"> - Instituto Socioambiental</t>
    </r>
  </si>
  <si>
    <r>
      <rPr>
        <b/>
        <sz val="11"/>
        <color theme="1"/>
        <rFont val="Calibri"/>
        <family val="2"/>
        <scheme val="minor"/>
      </rPr>
      <t>Instituto Phi</t>
    </r>
    <r>
      <rPr>
        <sz val="11"/>
        <color theme="1"/>
        <rFont val="Calibri"/>
        <family val="2"/>
        <scheme val="minor"/>
      </rPr>
      <t xml:space="preserve"> - Philantropia Inteligente</t>
    </r>
  </si>
  <si>
    <t>Instituto Olga Kos de Inclusão Cultural - IOK</t>
  </si>
  <si>
    <t>Instituição Assistencial e educacional Dr Klaide</t>
  </si>
  <si>
    <r>
      <rPr>
        <b/>
        <sz val="11"/>
        <color theme="1"/>
        <rFont val="Calibri"/>
        <family val="2"/>
        <scheme val="minor"/>
      </rPr>
      <t>Hospital São Francisco de Assis</t>
    </r>
    <r>
      <rPr>
        <sz val="11"/>
        <color theme="1"/>
        <rFont val="Calibri"/>
        <family val="2"/>
        <scheme val="minor"/>
      </rPr>
      <t xml:space="preserve"> - Associação Casa Fonte da Vida</t>
    </r>
  </si>
  <si>
    <t>Fundação Estudar</t>
  </si>
  <si>
    <t>Fundação Dorina Nowill para Cegos</t>
  </si>
  <si>
    <r>
      <rPr>
        <b/>
        <sz val="11"/>
        <color theme="1"/>
        <rFont val="Calibri"/>
        <family val="2"/>
        <scheme val="minor"/>
      </rPr>
      <t>Alvorada</t>
    </r>
    <r>
      <rPr>
        <sz val="11"/>
        <color theme="1"/>
        <rFont val="Calibri"/>
        <family val="2"/>
        <scheme val="minor"/>
      </rPr>
      <t xml:space="preserve"> Associação Amigos de Boa Vontade</t>
    </r>
  </si>
  <si>
    <t>Actionaid Brasil</t>
  </si>
  <si>
    <t>Percentual Receita com restrição/ receita total</t>
  </si>
  <si>
    <t>Receita total sem restrição</t>
  </si>
  <si>
    <t>Percentual Receita sem restrição/receita total</t>
  </si>
  <si>
    <t>total receita</t>
  </si>
  <si>
    <t>total trabalho voluntário</t>
  </si>
  <si>
    <t>total</t>
  </si>
  <si>
    <t>Média geral+</t>
  </si>
  <si>
    <t>Receita Total</t>
  </si>
  <si>
    <t>Receita total com restrição dos anos</t>
  </si>
  <si>
    <t>NGO rating agencies, watchdog organizations, quality seals, involuntary and self-regulatory certification or accreditation systems
agências de classificação de ONGS, organizações de vigilância, selos de qualidade, sistemas de certificação ou acreditação involuntários e autorreguladores
agências de classificação de ONGS, organizações de vigilância de ONGs, selos de qualidade de ONGs, sistemas de certificação de ONGs ou acreditação involuntárias de ONGS e autorreguladores de ONGs</t>
  </si>
  <si>
    <t>Bennett, R. (2003). Factors underlying the inclination to donate to particular types of charity. International Journal of Nonprofit and Voluntary Sector Marketing, 8(1), 12-29.
Bowman, W. (2006, June). Should donors care about overhead costs? Do they care? Nonprofit and Voluntary Sector Quarterly, 288-310.
Brooks, A. C. (2000a). Is there a dark side to government support for nonprofits? Public Administration Review, 60, 211-218.
Brooks, A. C. (2000b). Public subsidies and charitable giving: Crowding out, crowding in, or both? Journal of Policy Analysis and Management, 19, 451-464.</t>
  </si>
  <si>
    <t>ANO</t>
  </si>
  <si>
    <t>ID</t>
  </si>
  <si>
    <t>ONG</t>
  </si>
  <si>
    <t>RECEITA</t>
  </si>
  <si>
    <t>lnREC</t>
  </si>
  <si>
    <t>IDADE</t>
  </si>
  <si>
    <t>FORMA</t>
  </si>
  <si>
    <t>REGIÃO</t>
  </si>
  <si>
    <t>Irmandade do Divino Espírito Santo</t>
  </si>
  <si>
    <t>CENPEC</t>
  </si>
  <si>
    <t>Habitat Brasil</t>
  </si>
  <si>
    <t>Abrace</t>
  </si>
  <si>
    <t>ABCD Nossa Casa</t>
  </si>
  <si>
    <t xml:space="preserve"> </t>
  </si>
  <si>
    <t>Coeficiente</t>
  </si>
  <si>
    <t>Erro Padrão</t>
  </si>
  <si>
    <t>razão-t</t>
  </si>
  <si>
    <t>p-valor</t>
  </si>
  <si>
    <t>const</t>
  </si>
  <si>
    <t>&lt;0,0001</t>
  </si>
  <si>
    <t>***</t>
  </si>
  <si>
    <t>−0,270572</t>
  </si>
  <si>
    <t>−0,4764</t>
  </si>
  <si>
    <t>REGIAO</t>
  </si>
  <si>
    <t>R-quadrado</t>
  </si>
  <si>
    <t>R-quadrado ajustado</t>
  </si>
  <si>
    <t>F(3, 284)</t>
  </si>
  <si>
    <t>P-valor(F)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</si>
</sst>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vertical="top" wrapText="1"/>
    </xf>
    <xf numFmtId="4" fontId="0" fillId="0" borderId="2" xfId="0" applyNumberFormat="1" applyBorder="1"/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0" fillId="0" borderId="2" xfId="0" applyNumberFormat="1" applyBorder="1" applyAlignment="1">
      <alignment vertical="top" wrapText="1"/>
    </xf>
    <xf numFmtId="4" fontId="0" fillId="0" borderId="0" xfId="0" applyNumberFormat="1" applyAlignment="1">
      <alignment vertical="top" wrapText="1"/>
    </xf>
    <xf numFmtId="4" fontId="0" fillId="0" borderId="0" xfId="0" applyNumberFormat="1"/>
    <xf numFmtId="0" fontId="0" fillId="0" borderId="2" xfId="0" applyFill="1" applyBorder="1" applyAlignment="1">
      <alignment vertical="top" wrapText="1"/>
    </xf>
    <xf numFmtId="0" fontId="1" fillId="0" borderId="2" xfId="1" applyFill="1" applyBorder="1" applyAlignment="1">
      <alignment vertical="top" wrapText="1"/>
    </xf>
    <xf numFmtId="4" fontId="2" fillId="0" borderId="2" xfId="1" applyNumberFormat="1" applyFont="1" applyFill="1" applyBorder="1" applyAlignment="1">
      <alignment vertical="top" wrapText="1"/>
    </xf>
    <xf numFmtId="4" fontId="0" fillId="0" borderId="2" xfId="0" applyNumberFormat="1" applyFill="1" applyBorder="1"/>
    <xf numFmtId="0" fontId="0" fillId="0" borderId="0" xfId="0" applyFill="1"/>
    <xf numFmtId="4" fontId="0" fillId="0" borderId="2" xfId="0" applyNumberFormat="1" applyFill="1" applyBorder="1" applyAlignment="1">
      <alignment vertical="top" wrapText="1"/>
    </xf>
    <xf numFmtId="0" fontId="1" fillId="0" borderId="2" xfId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1" fillId="2" borderId="2" xfId="1" applyFill="1" applyBorder="1" applyAlignment="1">
      <alignment vertical="top" wrapText="1"/>
    </xf>
    <xf numFmtId="4" fontId="0" fillId="2" borderId="2" xfId="0" applyNumberFormat="1" applyFill="1" applyBorder="1" applyAlignment="1">
      <alignment vertical="top" wrapText="1"/>
    </xf>
    <xf numFmtId="4" fontId="0" fillId="2" borderId="2" xfId="0" applyNumberFormat="1" applyFill="1" applyBorder="1"/>
    <xf numFmtId="0" fontId="0" fillId="2" borderId="0" xfId="0" applyFill="1"/>
    <xf numFmtId="0" fontId="0" fillId="3" borderId="2" xfId="0" applyFill="1" applyBorder="1" applyAlignment="1">
      <alignment vertical="top" wrapText="1"/>
    </xf>
    <xf numFmtId="4" fontId="0" fillId="3" borderId="2" xfId="0" applyNumberFormat="1" applyFill="1" applyBorder="1" applyAlignment="1">
      <alignment vertical="top" wrapText="1"/>
    </xf>
    <xf numFmtId="4" fontId="0" fillId="3" borderId="2" xfId="0" applyNumberFormat="1" applyFill="1" applyBorder="1"/>
    <xf numFmtId="0" fontId="0" fillId="3" borderId="0" xfId="0" applyFill="1"/>
    <xf numFmtId="0" fontId="0" fillId="2" borderId="0" xfId="0" applyFill="1" applyAlignment="1"/>
    <xf numFmtId="0" fontId="1" fillId="3" borderId="2" xfId="1" applyFill="1" applyBorder="1" applyAlignment="1">
      <alignment vertical="top" wrapText="1"/>
    </xf>
    <xf numFmtId="4" fontId="0" fillId="3" borderId="2" xfId="0" applyNumberFormat="1" applyFill="1" applyBorder="1" applyAlignment="1">
      <alignment wrapText="1"/>
    </xf>
    <xf numFmtId="0" fontId="0" fillId="4" borderId="2" xfId="0" applyFill="1" applyBorder="1" applyAlignment="1">
      <alignment vertical="top" wrapText="1"/>
    </xf>
    <xf numFmtId="0" fontId="1" fillId="4" borderId="2" xfId="1" applyFill="1" applyBorder="1" applyAlignment="1">
      <alignment vertical="top" wrapText="1"/>
    </xf>
    <xf numFmtId="4" fontId="0" fillId="4" borderId="2" xfId="0" applyNumberFormat="1" applyFill="1" applyBorder="1" applyAlignment="1">
      <alignment vertical="top" wrapText="1"/>
    </xf>
    <xf numFmtId="4" fontId="0" fillId="4" borderId="2" xfId="0" applyNumberFormat="1" applyFill="1" applyBorder="1"/>
    <xf numFmtId="0" fontId="0" fillId="4" borderId="0" xfId="0" applyFill="1"/>
    <xf numFmtId="0" fontId="1" fillId="3" borderId="0" xfId="1" applyFill="1" applyAlignment="1">
      <alignment vertical="top"/>
    </xf>
    <xf numFmtId="0" fontId="1" fillId="0" borderId="0" xfId="1" applyFill="1" applyAlignment="1">
      <alignment vertical="top"/>
    </xf>
    <xf numFmtId="0" fontId="0" fillId="5" borderId="2" xfId="0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0" fillId="5" borderId="2" xfId="0" applyFill="1" applyBorder="1"/>
    <xf numFmtId="0" fontId="0" fillId="5" borderId="0" xfId="0" applyFill="1"/>
    <xf numFmtId="4" fontId="0" fillId="6" borderId="2" xfId="0" applyNumberFormat="1" applyFill="1" applyBorder="1"/>
    <xf numFmtId="4" fontId="0" fillId="6" borderId="2" xfId="0" applyNumberFormat="1" applyFill="1" applyBorder="1" applyAlignment="1">
      <alignment vertical="top" wrapText="1"/>
    </xf>
    <xf numFmtId="4" fontId="0" fillId="5" borderId="2" xfId="0" applyNumberFormat="1" applyFill="1" applyBorder="1" applyAlignment="1">
      <alignment vertical="top" wrapText="1"/>
    </xf>
    <xf numFmtId="0" fontId="0" fillId="0" borderId="2" xfId="0" applyFill="1" applyBorder="1"/>
    <xf numFmtId="164" fontId="0" fillId="0" borderId="0" xfId="0" applyNumberFormat="1" applyFill="1"/>
    <xf numFmtId="0" fontId="0" fillId="0" borderId="0" xfId="0" applyBorder="1" applyAlignment="1">
      <alignment horizontal="center" vertical="top" wrapText="1"/>
    </xf>
    <xf numFmtId="4" fontId="0" fillId="0" borderId="0" xfId="0" applyNumberFormat="1" applyFill="1" applyBorder="1"/>
    <xf numFmtId="4" fontId="0" fillId="0" borderId="0" xfId="0" applyNumberFormat="1" applyBorder="1"/>
    <xf numFmtId="2" fontId="0" fillId="0" borderId="0" xfId="0" applyNumberFormat="1"/>
    <xf numFmtId="4" fontId="0" fillId="2" borderId="0" xfId="0" applyNumberFormat="1" applyFill="1" applyBorder="1"/>
    <xf numFmtId="164" fontId="0" fillId="2" borderId="0" xfId="0" applyNumberFormat="1" applyFill="1"/>
    <xf numFmtId="0" fontId="0" fillId="2" borderId="2" xfId="0" applyFill="1" applyBorder="1"/>
    <xf numFmtId="0" fontId="0" fillId="7" borderId="2" xfId="0" applyFill="1" applyBorder="1"/>
    <xf numFmtId="0" fontId="0" fillId="8" borderId="2" xfId="0" applyFill="1" applyBorder="1" applyAlignment="1">
      <alignment vertical="top" wrapText="1"/>
    </xf>
    <xf numFmtId="0" fontId="1" fillId="8" borderId="2" xfId="1" applyFill="1" applyBorder="1" applyAlignment="1">
      <alignment vertical="top" wrapText="1"/>
    </xf>
    <xf numFmtId="4" fontId="0" fillId="8" borderId="2" xfId="0" applyNumberFormat="1" applyFill="1" applyBorder="1" applyAlignment="1">
      <alignment vertical="top" wrapText="1"/>
    </xf>
    <xf numFmtId="4" fontId="0" fillId="8" borderId="2" xfId="0" applyNumberFormat="1" applyFill="1" applyBorder="1"/>
    <xf numFmtId="0" fontId="0" fillId="8" borderId="2" xfId="0" applyFill="1" applyBorder="1"/>
    <xf numFmtId="0" fontId="0" fillId="8" borderId="0" xfId="0" applyFill="1"/>
    <xf numFmtId="164" fontId="0" fillId="0" borderId="2" xfId="2" applyNumberFormat="1" applyFont="1" applyFill="1" applyBorder="1"/>
    <xf numFmtId="164" fontId="0" fillId="0" borderId="2" xfId="2" applyNumberFormat="1" applyFont="1" applyBorder="1"/>
    <xf numFmtId="164" fontId="0" fillId="2" borderId="2" xfId="2" applyNumberFormat="1" applyFont="1" applyFill="1" applyBorder="1"/>
    <xf numFmtId="0" fontId="0" fillId="5" borderId="2" xfId="0" applyFill="1" applyBorder="1" applyAlignment="1">
      <alignment vertical="top" wrapText="1"/>
    </xf>
    <xf numFmtId="4" fontId="0" fillId="5" borderId="2" xfId="0" applyNumberFormat="1" applyFill="1" applyBorder="1"/>
    <xf numFmtId="164" fontId="0" fillId="5" borderId="2" xfId="2" applyNumberFormat="1" applyFont="1" applyFill="1" applyBorder="1"/>
    <xf numFmtId="4" fontId="0" fillId="5" borderId="0" xfId="0" applyNumberFormat="1" applyFill="1"/>
    <xf numFmtId="0" fontId="0" fillId="9" borderId="2" xfId="0" applyFill="1" applyBorder="1" applyAlignment="1">
      <alignment vertical="top" wrapText="1"/>
    </xf>
    <xf numFmtId="4" fontId="0" fillId="9" borderId="2" xfId="0" applyNumberFormat="1" applyFill="1" applyBorder="1"/>
    <xf numFmtId="164" fontId="0" fillId="9" borderId="2" xfId="2" applyNumberFormat="1" applyFont="1" applyFill="1" applyBorder="1"/>
    <xf numFmtId="0" fontId="0" fillId="9" borderId="2" xfId="0" applyFill="1" applyBorder="1"/>
    <xf numFmtId="0" fontId="0" fillId="9" borderId="0" xfId="0" applyFill="1"/>
    <xf numFmtId="0" fontId="0" fillId="10" borderId="2" xfId="0" applyFill="1" applyBorder="1" applyAlignment="1">
      <alignment vertical="top" wrapText="1"/>
    </xf>
    <xf numFmtId="4" fontId="0" fillId="10" borderId="2" xfId="0" applyNumberFormat="1" applyFill="1" applyBorder="1"/>
    <xf numFmtId="164" fontId="0" fillId="10" borderId="2" xfId="2" applyNumberFormat="1" applyFont="1" applyFill="1" applyBorder="1"/>
    <xf numFmtId="0" fontId="0" fillId="10" borderId="2" xfId="0" applyFill="1" applyBorder="1"/>
    <xf numFmtId="0" fontId="0" fillId="10" borderId="0" xfId="0" applyFill="1"/>
    <xf numFmtId="164" fontId="0" fillId="11" borderId="2" xfId="2" applyNumberFormat="1" applyFont="1" applyFill="1" applyBorder="1"/>
    <xf numFmtId="164" fontId="0" fillId="12" borderId="2" xfId="2" applyNumberFormat="1" applyFont="1" applyFill="1" applyBorder="1"/>
    <xf numFmtId="0" fontId="0" fillId="0" borderId="0" xfId="0" applyFill="1" applyAlignment="1"/>
    <xf numFmtId="0" fontId="0" fillId="13" borderId="2" xfId="0" applyFill="1" applyBorder="1" applyAlignment="1">
      <alignment vertical="top" wrapText="1"/>
    </xf>
    <xf numFmtId="4" fontId="0" fillId="13" borderId="2" xfId="0" applyNumberFormat="1" applyFill="1" applyBorder="1"/>
    <xf numFmtId="0" fontId="0" fillId="13" borderId="2" xfId="0" applyFill="1" applyBorder="1"/>
    <xf numFmtId="0" fontId="0" fillId="13" borderId="0" xfId="0" applyFill="1" applyAlignment="1"/>
    <xf numFmtId="0" fontId="0" fillId="13" borderId="0" xfId="0" applyFill="1"/>
    <xf numFmtId="2" fontId="0" fillId="0" borderId="2" xfId="2" applyNumberFormat="1" applyFont="1" applyFill="1" applyBorder="1"/>
    <xf numFmtId="0" fontId="0" fillId="14" borderId="2" xfId="0" applyFill="1" applyBorder="1" applyAlignment="1">
      <alignment vertical="top" wrapText="1"/>
    </xf>
    <xf numFmtId="4" fontId="0" fillId="14" borderId="2" xfId="0" applyNumberFormat="1" applyFill="1" applyBorder="1"/>
    <xf numFmtId="164" fontId="0" fillId="14" borderId="2" xfId="2" applyNumberFormat="1" applyFont="1" applyFill="1" applyBorder="1"/>
    <xf numFmtId="2" fontId="0" fillId="14" borderId="2" xfId="2" applyNumberFormat="1" applyFont="1" applyFill="1" applyBorder="1"/>
    <xf numFmtId="0" fontId="0" fillId="14" borderId="2" xfId="0" applyFill="1" applyBorder="1"/>
    <xf numFmtId="0" fontId="0" fillId="14" borderId="0" xfId="0" applyFill="1"/>
    <xf numFmtId="0" fontId="0" fillId="0" borderId="0" xfId="0" applyAlignment="1"/>
    <xf numFmtId="4" fontId="0" fillId="14" borderId="0" xfId="0" applyNumberFormat="1" applyFill="1" applyBorder="1"/>
    <xf numFmtId="164" fontId="0" fillId="14" borderId="0" xfId="0" applyNumberFormat="1" applyFill="1"/>
    <xf numFmtId="0" fontId="3" fillId="0" borderId="0" xfId="0" applyFont="1"/>
    <xf numFmtId="3" fontId="0" fillId="0" borderId="2" xfId="0" applyNumberFormat="1" applyBorder="1"/>
    <xf numFmtId="3" fontId="0" fillId="0" borderId="0" xfId="0" applyNumberFormat="1"/>
    <xf numFmtId="0" fontId="3" fillId="0" borderId="2" xfId="0" applyNumberFormat="1" applyFont="1" applyBorder="1"/>
    <xf numFmtId="0" fontId="2" fillId="0" borderId="0" xfId="0" applyFont="1" applyBorder="1"/>
    <xf numFmtId="9" fontId="0" fillId="0" borderId="0" xfId="2" applyNumberFormat="1" applyFont="1"/>
    <xf numFmtId="9" fontId="0" fillId="0" borderId="2" xfId="2" applyNumberFormat="1" applyFont="1" applyBorder="1"/>
    <xf numFmtId="4" fontId="0" fillId="14" borderId="0" xfId="0" applyNumberFormat="1" applyFill="1"/>
    <xf numFmtId="2" fontId="0" fillId="14" borderId="0" xfId="0" applyNumberFormat="1" applyFill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11" fontId="0" fillId="0" borderId="3" xfId="0" applyNumberFormat="1" applyBorder="1"/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/>
              <a:t>Evolução da Receita Total das ONGS/ Percentual de aumento ao longo dos anos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Receita Total</c:v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'72 com 2017'!$R$77:$R$80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'72 com 2017'!$S$77:$S$80</c:f>
              <c:numCache>
                <c:formatCode>#,##0</c:formatCode>
                <c:ptCount val="4"/>
                <c:pt idx="0">
                  <c:v>1751418664.8800004</c:v>
                </c:pt>
                <c:pt idx="1">
                  <c:v>1845973923.8499999</c:v>
                </c:pt>
                <c:pt idx="2">
                  <c:v>1984366440.3599997</c:v>
                </c:pt>
                <c:pt idx="3">
                  <c:v>2103432740.2299998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91-4FEF-80B4-289EC81F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1470703504"/>
        <c:axId val="1470713840"/>
      </c:barChart>
      <c:lineChart>
        <c:grouping val="stacked"/>
        <c:varyColors val="0"/>
        <c:ser>
          <c:idx val="1"/>
          <c:order val="1"/>
          <c:tx>
            <c:v>Percentual</c:v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val>
            <c:numRef>
              <c:f>'72 com 2017'!$T$77:$T$80</c:f>
              <c:numCache>
                <c:formatCode>0%</c:formatCode>
                <c:ptCount val="4"/>
                <c:pt idx="1">
                  <c:v>6.6973501678238137E-2</c:v>
                </c:pt>
                <c:pt idx="2">
                  <c:v>0.15458506876633027</c:v>
                </c:pt>
                <c:pt idx="3">
                  <c:v>0.11865562251673928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91-4FEF-80B4-289EC81F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708944"/>
        <c:axId val="1470704592"/>
      </c:lineChart>
      <c:catAx>
        <c:axId val="147070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70713840"/>
        <c:crosses val="autoZero"/>
        <c:auto val="1"/>
        <c:lblAlgn val="ctr"/>
        <c:lblOffset val="100"/>
        <c:noMultiLvlLbl val="0"/>
      </c:catAx>
      <c:valAx>
        <c:axId val="147071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70703504"/>
        <c:crosses val="autoZero"/>
        <c:crossBetween val="between"/>
      </c:valAx>
      <c:valAx>
        <c:axId val="14707045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70708944"/>
        <c:crosses val="max"/>
        <c:crossBetween val="between"/>
      </c:valAx>
      <c:catAx>
        <c:axId val="14707089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4707045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/>
              <a:t>Receita Total ($) X Trabalho Voluntário ($)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v>Receita Total ($)</c:v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'32receita x trabalho voluntário'!$A$40:$A$43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'32receita x trabalho voluntário'!$B$40:$B$43</c:f>
              <c:numCache>
                <c:formatCode>#,##0</c:formatCode>
                <c:ptCount val="4"/>
                <c:pt idx="0">
                  <c:v>773144957.22000003</c:v>
                </c:pt>
                <c:pt idx="1">
                  <c:v>813393815.86000001</c:v>
                </c:pt>
                <c:pt idx="2">
                  <c:v>897223668.06000006</c:v>
                </c:pt>
                <c:pt idx="3">
                  <c:v>893893953.18000007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A2-4825-A3E3-88F5996B5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714384"/>
        <c:axId val="1332543200"/>
      </c:barChart>
      <c:lineChart>
        <c:grouping val="stacked"/>
        <c:varyColors val="0"/>
        <c:ser>
          <c:idx val="1"/>
          <c:order val="0"/>
          <c:tx>
            <c:v>Trabalho Voluntário ($)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val>
            <c:numRef>
              <c:f>'32receita x trabalho voluntário'!$C$40:$C$43</c:f>
              <c:numCache>
                <c:formatCode>#,##0</c:formatCode>
                <c:ptCount val="4"/>
                <c:pt idx="0">
                  <c:v>16222953.399999999</c:v>
                </c:pt>
                <c:pt idx="1">
                  <c:v>15886982.1</c:v>
                </c:pt>
                <c:pt idx="2">
                  <c:v>25649496.030000001</c:v>
                </c:pt>
                <c:pt idx="3">
                  <c:v>12572852.18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A2-4825-A3E3-88F5996B5138}"/>
            </c:ext>
          </c:extLst>
        </c:ser>
        <c:ser>
          <c:idx val="2"/>
          <c:order val="1"/>
          <c:tx>
            <c:v>%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65000"/>
                </a:schemeClr>
              </a:solidFill>
              <a:ln w="9525">
                <a:solidFill>
                  <a:schemeClr val="accent3">
                    <a:tint val="65000"/>
                  </a:schemeClr>
                </a:solidFill>
              </a:ln>
              <a:effectLst/>
            </c:spPr>
          </c:marker>
          <c:val>
            <c:numRef>
              <c:f>'32receita x trabalho voluntário'!$D$40:$D$43</c:f>
              <c:numCache>
                <c:formatCode>0%</c:formatCode>
                <c:ptCount val="4"/>
                <c:pt idx="0">
                  <c:v>2.0983068244191785E-2</c:v>
                </c:pt>
                <c:pt idx="1">
                  <c:v>1.9531722260763339E-2</c:v>
                </c:pt>
                <c:pt idx="2">
                  <c:v>2.8587627525988025E-2</c:v>
                </c:pt>
                <c:pt idx="3">
                  <c:v>1.4065261472317233E-2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282816"/>
        <c:axId val="1513288800"/>
      </c:lineChart>
      <c:catAx>
        <c:axId val="147071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332543200"/>
        <c:crosses val="autoZero"/>
        <c:auto val="1"/>
        <c:lblAlgn val="ctr"/>
        <c:lblOffset val="100"/>
        <c:noMultiLvlLbl val="0"/>
      </c:catAx>
      <c:valAx>
        <c:axId val="1332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70714384"/>
        <c:crosses val="autoZero"/>
        <c:crossBetween val="between"/>
      </c:valAx>
      <c:valAx>
        <c:axId val="15132888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513282816"/>
        <c:crosses val="max"/>
        <c:crossBetween val="between"/>
      </c:valAx>
      <c:catAx>
        <c:axId val="15132828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513288800"/>
        <c:crosses val="max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/>
              <a:t>Evolução do Ativo Total das ONGS/ Percentual de aumento ao longo dos anos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Ativo Total</c:v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'66 c 2017 ativo permanente'!$F$72:$F$75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'66 c 2017 ativo permanente'!$G$72:$G$75</c:f>
              <c:numCache>
                <c:formatCode>#,##0</c:formatCode>
                <c:ptCount val="4"/>
                <c:pt idx="0">
                  <c:v>2424072151.0400004</c:v>
                </c:pt>
                <c:pt idx="1">
                  <c:v>2608047833.5599999</c:v>
                </c:pt>
                <c:pt idx="2">
                  <c:v>2703783286.7899995</c:v>
                </c:pt>
                <c:pt idx="3">
                  <c:v>2969266493.0899992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D4-4693-A08C-1173E6F29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3279552"/>
        <c:axId val="1513288256"/>
      </c:barChart>
      <c:lineChart>
        <c:grouping val="stacked"/>
        <c:varyColors val="0"/>
        <c:ser>
          <c:idx val="1"/>
          <c:order val="1"/>
          <c:tx>
            <c:v>Percentual</c:v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val>
            <c:numRef>
              <c:f>'66 c 2017 ativo permanente'!$H$72:$H$75</c:f>
              <c:numCache>
                <c:formatCode>0%</c:formatCode>
                <c:ptCount val="4"/>
                <c:pt idx="1">
                  <c:v>7.5895299750491585E-2</c:v>
                </c:pt>
                <c:pt idx="2">
                  <c:v>3.6707706046679389E-2</c:v>
                </c:pt>
                <c:pt idx="3">
                  <c:v>9.8189528575416407E-2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D4-4693-A08C-1173E6F29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274656"/>
        <c:axId val="1513289344"/>
      </c:lineChart>
      <c:catAx>
        <c:axId val="151327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513288256"/>
        <c:crosses val="autoZero"/>
        <c:auto val="1"/>
        <c:lblAlgn val="ctr"/>
        <c:lblOffset val="100"/>
        <c:noMultiLvlLbl val="0"/>
      </c:catAx>
      <c:valAx>
        <c:axId val="151328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513279552"/>
        <c:crosses val="autoZero"/>
        <c:crossBetween val="between"/>
      </c:valAx>
      <c:valAx>
        <c:axId val="1513289344"/>
        <c:scaling>
          <c:orientation val="minMax"/>
        </c:scaling>
        <c:delete val="0"/>
        <c:axPos val="r"/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513274656"/>
        <c:crosses val="max"/>
        <c:crossBetween val="between"/>
      </c:valAx>
      <c:catAx>
        <c:axId val="1513274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132893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278191</xdr:colOff>
      <xdr:row>13</xdr:row>
      <xdr:rowOff>96762</xdr:rowOff>
    </xdr:from>
    <xdr:to>
      <xdr:col>25</xdr:col>
      <xdr:colOff>477764</xdr:colOff>
      <xdr:row>24</xdr:row>
      <xdr:rowOff>10887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1DBDAE1-DE0B-4CFE-A476-A675222E1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35</xdr:row>
      <xdr:rowOff>152398</xdr:rowOff>
    </xdr:from>
    <xdr:to>
      <xdr:col>13</xdr:col>
      <xdr:colOff>798285</xdr:colOff>
      <xdr:row>61</xdr:row>
      <xdr:rowOff>181428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7010A6C3-8E32-4164-B372-BD80535E0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858762</xdr:colOff>
      <xdr:row>72</xdr:row>
      <xdr:rowOff>110064</xdr:rowOff>
    </xdr:from>
    <xdr:to>
      <xdr:col>19</xdr:col>
      <xdr:colOff>399144</xdr:colOff>
      <xdr:row>99</xdr:row>
      <xdr:rowOff>12096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83FE828-36EE-4A1D-AAF5-E630204B5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52869</xdr:colOff>
      <xdr:row>11</xdr:row>
      <xdr:rowOff>167640</xdr:rowOff>
    </xdr:from>
    <xdr:to>
      <xdr:col>20</xdr:col>
      <xdr:colOff>105778</xdr:colOff>
      <xdr:row>28</xdr:row>
      <xdr:rowOff>16</xdr:rowOff>
    </xdr:to>
    <xdr:grpSp>
      <xdr:nvGrpSpPr>
        <xdr:cNvPr id="11589" name="Group 325"/>
        <xdr:cNvGrpSpPr>
          <a:grpSpLocks noChangeAspect="1"/>
        </xdr:cNvGrpSpPr>
      </xdr:nvGrpSpPr>
      <xdr:grpSpPr bwMode="auto">
        <a:xfrm>
          <a:off x="7991239" y="2177024"/>
          <a:ext cx="4327416" cy="2937787"/>
          <a:chOff x="-20" y="272"/>
          <a:chExt cx="507" cy="386"/>
        </a:xfrm>
      </xdr:grpSpPr>
      <xdr:grpSp>
        <xdr:nvGrpSpPr>
          <xdr:cNvPr id="11790" name="Group 526"/>
          <xdr:cNvGrpSpPr>
            <a:grpSpLocks/>
          </xdr:cNvGrpSpPr>
        </xdr:nvGrpSpPr>
        <xdr:grpSpPr bwMode="auto">
          <a:xfrm>
            <a:off x="-20" y="272"/>
            <a:ext cx="507" cy="386"/>
            <a:chOff x="-20" y="272"/>
            <a:chExt cx="507" cy="386"/>
          </a:xfrm>
        </xdr:grpSpPr>
        <xdr:sp macro="" textlink="">
          <xdr:nvSpPr>
            <xdr:cNvPr id="11590" name="Line 326"/>
            <xdr:cNvSpPr>
              <a:spLocks noChangeShapeType="1"/>
            </xdr:cNvSpPr>
          </xdr:nvSpPr>
          <xdr:spPr bwMode="auto">
            <a:xfrm>
              <a:off x="46" y="607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91" name="Line 327"/>
            <xdr:cNvSpPr>
              <a:spLocks noChangeShapeType="1"/>
            </xdr:cNvSpPr>
          </xdr:nvSpPr>
          <xdr:spPr bwMode="auto">
            <a:xfrm flipH="1">
              <a:off x="484" y="607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92" name="Rectangle 328"/>
            <xdr:cNvSpPr>
              <a:spLocks noChangeArrowheads="1"/>
            </xdr:cNvSpPr>
          </xdr:nvSpPr>
          <xdr:spPr bwMode="auto">
            <a:xfrm>
              <a:off x="26" y="602"/>
              <a:ext cx="11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</a:t>
              </a:r>
            </a:p>
          </xdr:txBody>
        </xdr:sp>
        <xdr:sp macro="" textlink="">
          <xdr:nvSpPr>
            <xdr:cNvPr id="11593" name="Line 329"/>
            <xdr:cNvSpPr>
              <a:spLocks noChangeShapeType="1"/>
            </xdr:cNvSpPr>
          </xdr:nvSpPr>
          <xdr:spPr bwMode="auto">
            <a:xfrm>
              <a:off x="46" y="559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94" name="Line 330"/>
            <xdr:cNvSpPr>
              <a:spLocks noChangeShapeType="1"/>
            </xdr:cNvSpPr>
          </xdr:nvSpPr>
          <xdr:spPr bwMode="auto">
            <a:xfrm flipH="1">
              <a:off x="484" y="559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95" name="Rectangle 331"/>
            <xdr:cNvSpPr>
              <a:spLocks noChangeArrowheads="1"/>
            </xdr:cNvSpPr>
          </xdr:nvSpPr>
          <xdr:spPr bwMode="auto">
            <a:xfrm>
              <a:off x="9" y="555"/>
              <a:ext cx="30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0,05</a:t>
              </a:r>
            </a:p>
          </xdr:txBody>
        </xdr:sp>
        <xdr:sp macro="" textlink="">
          <xdr:nvSpPr>
            <xdr:cNvPr id="11596" name="Line 332"/>
            <xdr:cNvSpPr>
              <a:spLocks noChangeShapeType="1"/>
            </xdr:cNvSpPr>
          </xdr:nvSpPr>
          <xdr:spPr bwMode="auto">
            <a:xfrm>
              <a:off x="46" y="512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97" name="Line 333"/>
            <xdr:cNvSpPr>
              <a:spLocks noChangeShapeType="1"/>
            </xdr:cNvSpPr>
          </xdr:nvSpPr>
          <xdr:spPr bwMode="auto">
            <a:xfrm flipH="1">
              <a:off x="484" y="512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98" name="Rectangle 334"/>
            <xdr:cNvSpPr>
              <a:spLocks noChangeArrowheads="1"/>
            </xdr:cNvSpPr>
          </xdr:nvSpPr>
          <xdr:spPr bwMode="auto">
            <a:xfrm>
              <a:off x="16" y="507"/>
              <a:ext cx="2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0,1</a:t>
              </a:r>
            </a:p>
          </xdr:txBody>
        </xdr:sp>
        <xdr:sp macro="" textlink="">
          <xdr:nvSpPr>
            <xdr:cNvPr id="11599" name="Line 335"/>
            <xdr:cNvSpPr>
              <a:spLocks noChangeShapeType="1"/>
            </xdr:cNvSpPr>
          </xdr:nvSpPr>
          <xdr:spPr bwMode="auto">
            <a:xfrm>
              <a:off x="46" y="465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00" name="Line 336"/>
            <xdr:cNvSpPr>
              <a:spLocks noChangeShapeType="1"/>
            </xdr:cNvSpPr>
          </xdr:nvSpPr>
          <xdr:spPr bwMode="auto">
            <a:xfrm flipH="1">
              <a:off x="484" y="465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01" name="Rectangle 337"/>
            <xdr:cNvSpPr>
              <a:spLocks noChangeArrowheads="1"/>
            </xdr:cNvSpPr>
          </xdr:nvSpPr>
          <xdr:spPr bwMode="auto">
            <a:xfrm>
              <a:off x="9" y="460"/>
              <a:ext cx="30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0,15</a:t>
              </a:r>
            </a:p>
          </xdr:txBody>
        </xdr:sp>
        <xdr:sp macro="" textlink="">
          <xdr:nvSpPr>
            <xdr:cNvPr id="11602" name="Line 338"/>
            <xdr:cNvSpPr>
              <a:spLocks noChangeShapeType="1"/>
            </xdr:cNvSpPr>
          </xdr:nvSpPr>
          <xdr:spPr bwMode="auto">
            <a:xfrm>
              <a:off x="46" y="418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03" name="Line 339"/>
            <xdr:cNvSpPr>
              <a:spLocks noChangeShapeType="1"/>
            </xdr:cNvSpPr>
          </xdr:nvSpPr>
          <xdr:spPr bwMode="auto">
            <a:xfrm flipH="1">
              <a:off x="484" y="418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04" name="Rectangle 340"/>
            <xdr:cNvSpPr>
              <a:spLocks noChangeArrowheads="1"/>
            </xdr:cNvSpPr>
          </xdr:nvSpPr>
          <xdr:spPr bwMode="auto">
            <a:xfrm>
              <a:off x="16" y="413"/>
              <a:ext cx="2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0,2</a:t>
              </a:r>
            </a:p>
          </xdr:txBody>
        </xdr:sp>
        <xdr:sp macro="" textlink="">
          <xdr:nvSpPr>
            <xdr:cNvPr id="11605" name="Line 341"/>
            <xdr:cNvSpPr>
              <a:spLocks noChangeShapeType="1"/>
            </xdr:cNvSpPr>
          </xdr:nvSpPr>
          <xdr:spPr bwMode="auto">
            <a:xfrm>
              <a:off x="46" y="371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06" name="Line 342"/>
            <xdr:cNvSpPr>
              <a:spLocks noChangeShapeType="1"/>
            </xdr:cNvSpPr>
          </xdr:nvSpPr>
          <xdr:spPr bwMode="auto">
            <a:xfrm flipH="1">
              <a:off x="484" y="371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07" name="Rectangle 343"/>
            <xdr:cNvSpPr>
              <a:spLocks noChangeArrowheads="1"/>
            </xdr:cNvSpPr>
          </xdr:nvSpPr>
          <xdr:spPr bwMode="auto">
            <a:xfrm>
              <a:off x="9" y="366"/>
              <a:ext cx="30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0,25</a:t>
              </a:r>
            </a:p>
          </xdr:txBody>
        </xdr:sp>
        <xdr:sp macro="" textlink="">
          <xdr:nvSpPr>
            <xdr:cNvPr id="11608" name="Line 344"/>
            <xdr:cNvSpPr>
              <a:spLocks noChangeShapeType="1"/>
            </xdr:cNvSpPr>
          </xdr:nvSpPr>
          <xdr:spPr bwMode="auto">
            <a:xfrm>
              <a:off x="46" y="324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09" name="Line 345"/>
            <xdr:cNvSpPr>
              <a:spLocks noChangeShapeType="1"/>
            </xdr:cNvSpPr>
          </xdr:nvSpPr>
          <xdr:spPr bwMode="auto">
            <a:xfrm flipH="1">
              <a:off x="484" y="324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0" name="Rectangle 346"/>
            <xdr:cNvSpPr>
              <a:spLocks noChangeArrowheads="1"/>
            </xdr:cNvSpPr>
          </xdr:nvSpPr>
          <xdr:spPr bwMode="auto">
            <a:xfrm>
              <a:off x="16" y="319"/>
              <a:ext cx="2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0,3</a:t>
              </a:r>
            </a:p>
          </xdr:txBody>
        </xdr:sp>
        <xdr:sp macro="" textlink="">
          <xdr:nvSpPr>
            <xdr:cNvPr id="11611" name="Line 347"/>
            <xdr:cNvSpPr>
              <a:spLocks noChangeShapeType="1"/>
            </xdr:cNvSpPr>
          </xdr:nvSpPr>
          <xdr:spPr bwMode="auto">
            <a:xfrm>
              <a:off x="46" y="277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2" name="Line 348"/>
            <xdr:cNvSpPr>
              <a:spLocks noChangeShapeType="1"/>
            </xdr:cNvSpPr>
          </xdr:nvSpPr>
          <xdr:spPr bwMode="auto">
            <a:xfrm flipH="1">
              <a:off x="484" y="277"/>
              <a:ext cx="3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3" name="Rectangle 349"/>
            <xdr:cNvSpPr>
              <a:spLocks noChangeArrowheads="1"/>
            </xdr:cNvSpPr>
          </xdr:nvSpPr>
          <xdr:spPr bwMode="auto">
            <a:xfrm>
              <a:off x="9" y="272"/>
              <a:ext cx="30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0,35</a:t>
              </a:r>
            </a:p>
          </xdr:txBody>
        </xdr:sp>
        <xdr:sp macro="" textlink="">
          <xdr:nvSpPr>
            <xdr:cNvPr id="11614" name="Line 350"/>
            <xdr:cNvSpPr>
              <a:spLocks noChangeShapeType="1"/>
            </xdr:cNvSpPr>
          </xdr:nvSpPr>
          <xdr:spPr bwMode="auto">
            <a:xfrm flipV="1">
              <a:off x="77" y="603"/>
              <a:ext cx="0" cy="4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5" name="Line 351"/>
            <xdr:cNvSpPr>
              <a:spLocks noChangeShapeType="1"/>
            </xdr:cNvSpPr>
          </xdr:nvSpPr>
          <xdr:spPr bwMode="auto">
            <a:xfrm>
              <a:off x="77" y="277"/>
              <a:ext cx="0" cy="3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6" name="Rectangle 352"/>
            <xdr:cNvSpPr>
              <a:spLocks noChangeArrowheads="1"/>
            </xdr:cNvSpPr>
          </xdr:nvSpPr>
          <xdr:spPr bwMode="auto">
            <a:xfrm>
              <a:off x="69" y="612"/>
              <a:ext cx="1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-6</a:t>
              </a:r>
            </a:p>
          </xdr:txBody>
        </xdr:sp>
        <xdr:sp macro="" textlink="">
          <xdr:nvSpPr>
            <xdr:cNvPr id="11617" name="Line 353"/>
            <xdr:cNvSpPr>
              <a:spLocks noChangeShapeType="1"/>
            </xdr:cNvSpPr>
          </xdr:nvSpPr>
          <xdr:spPr bwMode="auto">
            <a:xfrm flipV="1">
              <a:off x="152" y="603"/>
              <a:ext cx="0" cy="4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8" name="Line 354"/>
            <xdr:cNvSpPr>
              <a:spLocks noChangeShapeType="1"/>
            </xdr:cNvSpPr>
          </xdr:nvSpPr>
          <xdr:spPr bwMode="auto">
            <a:xfrm>
              <a:off x="152" y="277"/>
              <a:ext cx="0" cy="3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9" name="Rectangle 355"/>
            <xdr:cNvSpPr>
              <a:spLocks noChangeArrowheads="1"/>
            </xdr:cNvSpPr>
          </xdr:nvSpPr>
          <xdr:spPr bwMode="auto">
            <a:xfrm>
              <a:off x="144" y="612"/>
              <a:ext cx="1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-4</a:t>
              </a:r>
            </a:p>
          </xdr:txBody>
        </xdr:sp>
        <xdr:sp macro="" textlink="">
          <xdr:nvSpPr>
            <xdr:cNvPr id="11620" name="Line 356"/>
            <xdr:cNvSpPr>
              <a:spLocks noChangeShapeType="1"/>
            </xdr:cNvSpPr>
          </xdr:nvSpPr>
          <xdr:spPr bwMode="auto">
            <a:xfrm flipV="1">
              <a:off x="227" y="603"/>
              <a:ext cx="0" cy="4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1" name="Line 357"/>
            <xdr:cNvSpPr>
              <a:spLocks noChangeShapeType="1"/>
            </xdr:cNvSpPr>
          </xdr:nvSpPr>
          <xdr:spPr bwMode="auto">
            <a:xfrm>
              <a:off x="227" y="277"/>
              <a:ext cx="0" cy="3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2" name="Rectangle 358"/>
            <xdr:cNvSpPr>
              <a:spLocks noChangeArrowheads="1"/>
            </xdr:cNvSpPr>
          </xdr:nvSpPr>
          <xdr:spPr bwMode="auto">
            <a:xfrm>
              <a:off x="219" y="612"/>
              <a:ext cx="1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-2</a:t>
              </a:r>
            </a:p>
          </xdr:txBody>
        </xdr:sp>
        <xdr:sp macro="" textlink="">
          <xdr:nvSpPr>
            <xdr:cNvPr id="11623" name="Line 359"/>
            <xdr:cNvSpPr>
              <a:spLocks noChangeShapeType="1"/>
            </xdr:cNvSpPr>
          </xdr:nvSpPr>
          <xdr:spPr bwMode="auto">
            <a:xfrm flipV="1">
              <a:off x="302" y="603"/>
              <a:ext cx="0" cy="4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4" name="Line 360"/>
            <xdr:cNvSpPr>
              <a:spLocks noChangeShapeType="1"/>
            </xdr:cNvSpPr>
          </xdr:nvSpPr>
          <xdr:spPr bwMode="auto">
            <a:xfrm>
              <a:off x="302" y="277"/>
              <a:ext cx="0" cy="3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5" name="Rectangle 361"/>
            <xdr:cNvSpPr>
              <a:spLocks noChangeArrowheads="1"/>
            </xdr:cNvSpPr>
          </xdr:nvSpPr>
          <xdr:spPr bwMode="auto">
            <a:xfrm>
              <a:off x="295" y="612"/>
              <a:ext cx="11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0</a:t>
              </a:r>
            </a:p>
          </xdr:txBody>
        </xdr:sp>
        <xdr:sp macro="" textlink="">
          <xdr:nvSpPr>
            <xdr:cNvPr id="11626" name="Line 362"/>
            <xdr:cNvSpPr>
              <a:spLocks noChangeShapeType="1"/>
            </xdr:cNvSpPr>
          </xdr:nvSpPr>
          <xdr:spPr bwMode="auto">
            <a:xfrm flipV="1">
              <a:off x="377" y="603"/>
              <a:ext cx="0" cy="4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7" name="Line 363"/>
            <xdr:cNvSpPr>
              <a:spLocks noChangeShapeType="1"/>
            </xdr:cNvSpPr>
          </xdr:nvSpPr>
          <xdr:spPr bwMode="auto">
            <a:xfrm>
              <a:off x="377" y="277"/>
              <a:ext cx="0" cy="3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8" name="Rectangle 364"/>
            <xdr:cNvSpPr>
              <a:spLocks noChangeArrowheads="1"/>
            </xdr:cNvSpPr>
          </xdr:nvSpPr>
          <xdr:spPr bwMode="auto">
            <a:xfrm>
              <a:off x="370" y="612"/>
              <a:ext cx="11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2</a:t>
              </a:r>
            </a:p>
          </xdr:txBody>
        </xdr:sp>
        <xdr:sp macro="" textlink="">
          <xdr:nvSpPr>
            <xdr:cNvPr id="11629" name="Line 365"/>
            <xdr:cNvSpPr>
              <a:spLocks noChangeShapeType="1"/>
            </xdr:cNvSpPr>
          </xdr:nvSpPr>
          <xdr:spPr bwMode="auto">
            <a:xfrm flipV="1">
              <a:off x="452" y="603"/>
              <a:ext cx="0" cy="4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30" name="Line 366"/>
            <xdr:cNvSpPr>
              <a:spLocks noChangeShapeType="1"/>
            </xdr:cNvSpPr>
          </xdr:nvSpPr>
          <xdr:spPr bwMode="auto">
            <a:xfrm>
              <a:off x="452" y="277"/>
              <a:ext cx="0" cy="3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31" name="Rectangle 367"/>
            <xdr:cNvSpPr>
              <a:spLocks noChangeArrowheads="1"/>
            </xdr:cNvSpPr>
          </xdr:nvSpPr>
          <xdr:spPr bwMode="auto">
            <a:xfrm>
              <a:off x="445" y="612"/>
              <a:ext cx="11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 4</a:t>
              </a:r>
            </a:p>
          </xdr:txBody>
        </xdr:sp>
        <xdr:sp macro="" textlink="">
          <xdr:nvSpPr>
            <xdr:cNvPr id="11633" name="Rectangle 369"/>
            <xdr:cNvSpPr>
              <a:spLocks noChangeArrowheads="1"/>
            </xdr:cNvSpPr>
          </xdr:nvSpPr>
          <xdr:spPr bwMode="auto">
            <a:xfrm rot="16200000">
              <a:off x="-52" y="420"/>
              <a:ext cx="81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Densidade</a:t>
              </a:r>
            </a:p>
          </xdr:txBody>
        </xdr:sp>
        <xdr:sp macro="" textlink="">
          <xdr:nvSpPr>
            <xdr:cNvPr id="11634" name="Rectangle 370"/>
            <xdr:cNvSpPr>
              <a:spLocks noChangeArrowheads="1"/>
            </xdr:cNvSpPr>
          </xdr:nvSpPr>
          <xdr:spPr bwMode="auto">
            <a:xfrm>
              <a:off x="241" y="639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Residual</a:t>
              </a:r>
            </a:p>
          </xdr:txBody>
        </xdr:sp>
        <xdr:sp macro="" textlink="">
          <xdr:nvSpPr>
            <xdr:cNvPr id="11635" name="Rectangle 371"/>
            <xdr:cNvSpPr>
              <a:spLocks noChangeArrowheads="1"/>
            </xdr:cNvSpPr>
          </xdr:nvSpPr>
          <xdr:spPr bwMode="auto">
            <a:xfrm>
              <a:off x="339" y="272"/>
              <a:ext cx="112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frequência relativa</a:t>
              </a:r>
            </a:p>
          </xdr:txBody>
        </xdr:sp>
        <xdr:sp macro="" textlink="">
          <xdr:nvSpPr>
            <xdr:cNvPr id="11636" name="Rectangle 372"/>
            <xdr:cNvSpPr>
              <a:spLocks noChangeArrowheads="1"/>
            </xdr:cNvSpPr>
          </xdr:nvSpPr>
          <xdr:spPr bwMode="auto">
            <a:xfrm>
              <a:off x="456" y="283"/>
              <a:ext cx="22" cy="5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37" name="Rectangle 373"/>
            <xdr:cNvSpPr>
              <a:spLocks noChangeArrowheads="1"/>
            </xdr:cNvSpPr>
          </xdr:nvSpPr>
          <xdr:spPr bwMode="auto">
            <a:xfrm>
              <a:off x="456" y="283"/>
              <a:ext cx="22" cy="5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38" name="Rectangle 374"/>
            <xdr:cNvSpPr>
              <a:spLocks noChangeArrowheads="1"/>
            </xdr:cNvSpPr>
          </xdr:nvSpPr>
          <xdr:spPr bwMode="auto">
            <a:xfrm>
              <a:off x="67" y="584"/>
              <a:ext cx="21" cy="23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39" name="Rectangle 375"/>
            <xdr:cNvSpPr>
              <a:spLocks noChangeArrowheads="1"/>
            </xdr:cNvSpPr>
          </xdr:nvSpPr>
          <xdr:spPr bwMode="auto">
            <a:xfrm>
              <a:off x="109" y="601"/>
              <a:ext cx="22" cy="6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40" name="Rectangle 376"/>
            <xdr:cNvSpPr>
              <a:spLocks noChangeArrowheads="1"/>
            </xdr:cNvSpPr>
          </xdr:nvSpPr>
          <xdr:spPr bwMode="auto">
            <a:xfrm>
              <a:off x="67" y="584"/>
              <a:ext cx="21" cy="23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41" name="Rectangle 377"/>
            <xdr:cNvSpPr>
              <a:spLocks noChangeArrowheads="1"/>
            </xdr:cNvSpPr>
          </xdr:nvSpPr>
          <xdr:spPr bwMode="auto">
            <a:xfrm>
              <a:off x="131" y="601"/>
              <a:ext cx="21" cy="6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42" name="Rectangle 378"/>
            <xdr:cNvSpPr>
              <a:spLocks noChangeArrowheads="1"/>
            </xdr:cNvSpPr>
          </xdr:nvSpPr>
          <xdr:spPr bwMode="auto">
            <a:xfrm>
              <a:off x="109" y="601"/>
              <a:ext cx="22" cy="6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43" name="Rectangle 379"/>
            <xdr:cNvSpPr>
              <a:spLocks noChangeArrowheads="1"/>
            </xdr:cNvSpPr>
          </xdr:nvSpPr>
          <xdr:spPr bwMode="auto">
            <a:xfrm>
              <a:off x="152" y="601"/>
              <a:ext cx="21" cy="6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44" name="Rectangle 380"/>
            <xdr:cNvSpPr>
              <a:spLocks noChangeArrowheads="1"/>
            </xdr:cNvSpPr>
          </xdr:nvSpPr>
          <xdr:spPr bwMode="auto">
            <a:xfrm>
              <a:off x="131" y="601"/>
              <a:ext cx="21" cy="6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45" name="Rectangle 381"/>
            <xdr:cNvSpPr>
              <a:spLocks noChangeArrowheads="1"/>
            </xdr:cNvSpPr>
          </xdr:nvSpPr>
          <xdr:spPr bwMode="auto">
            <a:xfrm>
              <a:off x="173" y="601"/>
              <a:ext cx="22" cy="6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46" name="Rectangle 382"/>
            <xdr:cNvSpPr>
              <a:spLocks noChangeArrowheads="1"/>
            </xdr:cNvSpPr>
          </xdr:nvSpPr>
          <xdr:spPr bwMode="auto">
            <a:xfrm>
              <a:off x="152" y="601"/>
              <a:ext cx="21" cy="6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47" name="Rectangle 383"/>
            <xdr:cNvSpPr>
              <a:spLocks noChangeArrowheads="1"/>
            </xdr:cNvSpPr>
          </xdr:nvSpPr>
          <xdr:spPr bwMode="auto">
            <a:xfrm>
              <a:off x="195" y="595"/>
              <a:ext cx="21" cy="12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48" name="Rectangle 384"/>
            <xdr:cNvSpPr>
              <a:spLocks noChangeArrowheads="1"/>
            </xdr:cNvSpPr>
          </xdr:nvSpPr>
          <xdr:spPr bwMode="auto">
            <a:xfrm>
              <a:off x="173" y="601"/>
              <a:ext cx="22" cy="6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49" name="Rectangle 385"/>
            <xdr:cNvSpPr>
              <a:spLocks noChangeArrowheads="1"/>
            </xdr:cNvSpPr>
          </xdr:nvSpPr>
          <xdr:spPr bwMode="auto">
            <a:xfrm>
              <a:off x="216" y="532"/>
              <a:ext cx="21" cy="75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50" name="Rectangle 386"/>
            <xdr:cNvSpPr>
              <a:spLocks noChangeArrowheads="1"/>
            </xdr:cNvSpPr>
          </xdr:nvSpPr>
          <xdr:spPr bwMode="auto">
            <a:xfrm>
              <a:off x="195" y="595"/>
              <a:ext cx="21" cy="12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51" name="Rectangle 387"/>
            <xdr:cNvSpPr>
              <a:spLocks noChangeArrowheads="1"/>
            </xdr:cNvSpPr>
          </xdr:nvSpPr>
          <xdr:spPr bwMode="auto">
            <a:xfrm>
              <a:off x="237" y="463"/>
              <a:ext cx="21" cy="144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52" name="Rectangle 388"/>
            <xdr:cNvSpPr>
              <a:spLocks noChangeArrowheads="1"/>
            </xdr:cNvSpPr>
          </xdr:nvSpPr>
          <xdr:spPr bwMode="auto">
            <a:xfrm>
              <a:off x="216" y="532"/>
              <a:ext cx="21" cy="75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53" name="Rectangle 389"/>
            <xdr:cNvSpPr>
              <a:spLocks noChangeArrowheads="1"/>
            </xdr:cNvSpPr>
          </xdr:nvSpPr>
          <xdr:spPr bwMode="auto">
            <a:xfrm>
              <a:off x="258" y="336"/>
              <a:ext cx="22" cy="271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54" name="Rectangle 390"/>
            <xdr:cNvSpPr>
              <a:spLocks noChangeArrowheads="1"/>
            </xdr:cNvSpPr>
          </xdr:nvSpPr>
          <xdr:spPr bwMode="auto">
            <a:xfrm>
              <a:off x="237" y="463"/>
              <a:ext cx="21" cy="144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55" name="Rectangle 391"/>
            <xdr:cNvSpPr>
              <a:spLocks noChangeArrowheads="1"/>
            </xdr:cNvSpPr>
          </xdr:nvSpPr>
          <xdr:spPr bwMode="auto">
            <a:xfrm>
              <a:off x="280" y="307"/>
              <a:ext cx="21" cy="300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56" name="Rectangle 392"/>
            <xdr:cNvSpPr>
              <a:spLocks noChangeArrowheads="1"/>
            </xdr:cNvSpPr>
          </xdr:nvSpPr>
          <xdr:spPr bwMode="auto">
            <a:xfrm>
              <a:off x="258" y="336"/>
              <a:ext cx="22" cy="271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57" name="Rectangle 393"/>
            <xdr:cNvSpPr>
              <a:spLocks noChangeArrowheads="1"/>
            </xdr:cNvSpPr>
          </xdr:nvSpPr>
          <xdr:spPr bwMode="auto">
            <a:xfrm>
              <a:off x="301" y="382"/>
              <a:ext cx="21" cy="225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58" name="Rectangle 394"/>
            <xdr:cNvSpPr>
              <a:spLocks noChangeArrowheads="1"/>
            </xdr:cNvSpPr>
          </xdr:nvSpPr>
          <xdr:spPr bwMode="auto">
            <a:xfrm>
              <a:off x="280" y="307"/>
              <a:ext cx="21" cy="300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59" name="Rectangle 395"/>
            <xdr:cNvSpPr>
              <a:spLocks noChangeArrowheads="1"/>
            </xdr:cNvSpPr>
          </xdr:nvSpPr>
          <xdr:spPr bwMode="auto">
            <a:xfrm>
              <a:off x="322" y="480"/>
              <a:ext cx="22" cy="127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60" name="Rectangle 396"/>
            <xdr:cNvSpPr>
              <a:spLocks noChangeArrowheads="1"/>
            </xdr:cNvSpPr>
          </xdr:nvSpPr>
          <xdr:spPr bwMode="auto">
            <a:xfrm>
              <a:off x="301" y="382"/>
              <a:ext cx="21" cy="225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61" name="Rectangle 397"/>
            <xdr:cNvSpPr>
              <a:spLocks noChangeArrowheads="1"/>
            </xdr:cNvSpPr>
          </xdr:nvSpPr>
          <xdr:spPr bwMode="auto">
            <a:xfrm>
              <a:off x="343" y="313"/>
              <a:ext cx="22" cy="294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62" name="Rectangle 398"/>
            <xdr:cNvSpPr>
              <a:spLocks noChangeArrowheads="1"/>
            </xdr:cNvSpPr>
          </xdr:nvSpPr>
          <xdr:spPr bwMode="auto">
            <a:xfrm>
              <a:off x="322" y="480"/>
              <a:ext cx="21" cy="127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63" name="Rectangle 399"/>
            <xdr:cNvSpPr>
              <a:spLocks noChangeArrowheads="1"/>
            </xdr:cNvSpPr>
          </xdr:nvSpPr>
          <xdr:spPr bwMode="auto">
            <a:xfrm>
              <a:off x="365" y="491"/>
              <a:ext cx="21" cy="116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64" name="Rectangle 400"/>
            <xdr:cNvSpPr>
              <a:spLocks noChangeArrowheads="1"/>
            </xdr:cNvSpPr>
          </xdr:nvSpPr>
          <xdr:spPr bwMode="auto">
            <a:xfrm>
              <a:off x="343" y="313"/>
              <a:ext cx="22" cy="294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65" name="Rectangle 401"/>
            <xdr:cNvSpPr>
              <a:spLocks noChangeArrowheads="1"/>
            </xdr:cNvSpPr>
          </xdr:nvSpPr>
          <xdr:spPr bwMode="auto">
            <a:xfrm>
              <a:off x="386" y="595"/>
              <a:ext cx="21" cy="12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66" name="Rectangle 402"/>
            <xdr:cNvSpPr>
              <a:spLocks noChangeArrowheads="1"/>
            </xdr:cNvSpPr>
          </xdr:nvSpPr>
          <xdr:spPr bwMode="auto">
            <a:xfrm>
              <a:off x="365" y="491"/>
              <a:ext cx="21" cy="116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67" name="Rectangle 403"/>
            <xdr:cNvSpPr>
              <a:spLocks noChangeArrowheads="1"/>
            </xdr:cNvSpPr>
          </xdr:nvSpPr>
          <xdr:spPr bwMode="auto">
            <a:xfrm>
              <a:off x="407" y="566"/>
              <a:ext cx="22" cy="41"/>
            </a:xfrm>
            <a:prstGeom prst="rect">
              <a:avLst/>
            </a:prstGeom>
            <a:solidFill>
              <a:srgbClr val="B2B2B2"/>
            </a:solidFill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11668" name="Rectangle 404"/>
            <xdr:cNvSpPr>
              <a:spLocks noChangeArrowheads="1"/>
            </xdr:cNvSpPr>
          </xdr:nvSpPr>
          <xdr:spPr bwMode="auto">
            <a:xfrm>
              <a:off x="386" y="595"/>
              <a:ext cx="21" cy="12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69" name="Rectangle 405"/>
            <xdr:cNvSpPr>
              <a:spLocks noChangeArrowheads="1"/>
            </xdr:cNvSpPr>
          </xdr:nvSpPr>
          <xdr:spPr bwMode="auto">
            <a:xfrm>
              <a:off x="407" y="566"/>
              <a:ext cx="22" cy="41"/>
            </a:xfrm>
            <a:prstGeom prst="rect">
              <a:avLst/>
            </a:prstGeom>
            <a:noFill/>
            <a:ln w="7620">
              <a:solidFill>
                <a:srgbClr val="B2B2B2"/>
              </a:solidFill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70" name="Rectangle 406"/>
            <xdr:cNvSpPr>
              <a:spLocks noChangeArrowheads="1"/>
            </xdr:cNvSpPr>
          </xdr:nvSpPr>
          <xdr:spPr bwMode="auto">
            <a:xfrm>
              <a:off x="322" y="289"/>
              <a:ext cx="13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Times New Roman" panose="02020603050405020304" pitchFamily="18" charset="0"/>
                  <a:ea typeface="verdana"/>
                  <a:cs typeface="Times New Roman" panose="02020603050405020304" pitchFamily="18" charset="0"/>
                </a:rPr>
                <a:t>N(4,7863e-15 1,4972)</a:t>
              </a:r>
            </a:p>
          </xdr:txBody>
        </xdr:sp>
        <xdr:sp macro="" textlink="">
          <xdr:nvSpPr>
            <xdr:cNvPr id="11671" name="Line 407"/>
            <xdr:cNvSpPr>
              <a:spLocks noChangeShapeType="1"/>
            </xdr:cNvSpPr>
          </xdr:nvSpPr>
          <xdr:spPr bwMode="auto">
            <a:xfrm>
              <a:off x="456" y="295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2" name="Line 408"/>
            <xdr:cNvSpPr>
              <a:spLocks noChangeShapeType="1"/>
            </xdr:cNvSpPr>
          </xdr:nvSpPr>
          <xdr:spPr bwMode="auto">
            <a:xfrm>
              <a:off x="460" y="295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3" name="Line 409"/>
            <xdr:cNvSpPr>
              <a:spLocks noChangeShapeType="1"/>
            </xdr:cNvSpPr>
          </xdr:nvSpPr>
          <xdr:spPr bwMode="auto">
            <a:xfrm>
              <a:off x="463" y="295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5" name="Line 411"/>
            <xdr:cNvSpPr>
              <a:spLocks noChangeShapeType="1"/>
            </xdr:cNvSpPr>
          </xdr:nvSpPr>
          <xdr:spPr bwMode="auto">
            <a:xfrm>
              <a:off x="470" y="295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6" name="Line 412"/>
            <xdr:cNvSpPr>
              <a:spLocks noChangeShapeType="1"/>
            </xdr:cNvSpPr>
          </xdr:nvSpPr>
          <xdr:spPr bwMode="auto">
            <a:xfrm>
              <a:off x="473" y="295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7" name="Line 413"/>
            <xdr:cNvSpPr>
              <a:spLocks noChangeShapeType="1"/>
            </xdr:cNvSpPr>
          </xdr:nvSpPr>
          <xdr:spPr bwMode="auto">
            <a:xfrm>
              <a:off x="476" y="295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8" name="Line 414"/>
            <xdr:cNvSpPr>
              <a:spLocks noChangeShapeType="1"/>
            </xdr:cNvSpPr>
          </xdr:nvSpPr>
          <xdr:spPr bwMode="auto">
            <a:xfrm flipV="1">
              <a:off x="46" y="607"/>
              <a:ext cx="0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9" name="Line 415"/>
            <xdr:cNvSpPr>
              <a:spLocks noChangeShapeType="1"/>
            </xdr:cNvSpPr>
          </xdr:nvSpPr>
          <xdr:spPr bwMode="auto">
            <a:xfrm>
              <a:off x="47" y="607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0" name="Line 416"/>
            <xdr:cNvSpPr>
              <a:spLocks noChangeShapeType="1"/>
            </xdr:cNvSpPr>
          </xdr:nvSpPr>
          <xdr:spPr bwMode="auto">
            <a:xfrm>
              <a:off x="50" y="607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1" name="Freeform 417"/>
            <xdr:cNvSpPr>
              <a:spLocks/>
            </xdr:cNvSpPr>
          </xdr:nvSpPr>
          <xdr:spPr bwMode="auto">
            <a:xfrm>
              <a:off x="53" y="607"/>
              <a:ext cx="2" cy="0"/>
            </a:xfrm>
            <a:custGeom>
              <a:avLst/>
              <a:gdLst>
                <a:gd name="T0" fmla="*/ 0 w 105"/>
                <a:gd name="T1" fmla="*/ 69 w 105"/>
                <a:gd name="T2" fmla="*/ 105 w 105"/>
              </a:gdLst>
              <a:ahLst/>
              <a:cxnLst>
                <a:cxn ang="0">
                  <a:pos x="T0" y="0"/>
                </a:cxn>
                <a:cxn ang="0">
                  <a:pos x="T1" y="0"/>
                </a:cxn>
                <a:cxn ang="0">
                  <a:pos x="T2" y="0"/>
                </a:cxn>
              </a:cxnLst>
              <a:rect l="0" t="0" r="r" b="b"/>
              <a:pathLst>
                <a:path w="105">
                  <a:moveTo>
                    <a:pt x="0" y="0"/>
                  </a:moveTo>
                  <a:lnTo>
                    <a:pt x="69" y="0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82" name="Line 418"/>
            <xdr:cNvSpPr>
              <a:spLocks noChangeShapeType="1"/>
            </xdr:cNvSpPr>
          </xdr:nvSpPr>
          <xdr:spPr bwMode="auto">
            <a:xfrm>
              <a:off x="56" y="607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3" name="Line 419"/>
            <xdr:cNvSpPr>
              <a:spLocks noChangeShapeType="1"/>
            </xdr:cNvSpPr>
          </xdr:nvSpPr>
          <xdr:spPr bwMode="auto">
            <a:xfrm>
              <a:off x="60" y="607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4" name="Freeform 420"/>
            <xdr:cNvSpPr>
              <a:spLocks/>
            </xdr:cNvSpPr>
          </xdr:nvSpPr>
          <xdr:spPr bwMode="auto">
            <a:xfrm>
              <a:off x="63" y="607"/>
              <a:ext cx="2" cy="0"/>
            </a:xfrm>
            <a:custGeom>
              <a:avLst/>
              <a:gdLst>
                <a:gd name="T0" fmla="*/ 0 w 105"/>
                <a:gd name="T1" fmla="*/ 40 w 105"/>
                <a:gd name="T2" fmla="*/ 105 w 105"/>
              </a:gdLst>
              <a:ahLst/>
              <a:cxnLst>
                <a:cxn ang="0">
                  <a:pos x="T0" y="0"/>
                </a:cxn>
                <a:cxn ang="0">
                  <a:pos x="T1" y="0"/>
                </a:cxn>
                <a:cxn ang="0">
                  <a:pos x="T2" y="0"/>
                </a:cxn>
              </a:cxnLst>
              <a:rect l="0" t="0" r="r" b="b"/>
              <a:pathLst>
                <a:path w="105">
                  <a:moveTo>
                    <a:pt x="0" y="0"/>
                  </a:moveTo>
                  <a:lnTo>
                    <a:pt x="40" y="0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85" name="Line 421"/>
            <xdr:cNvSpPr>
              <a:spLocks noChangeShapeType="1"/>
            </xdr:cNvSpPr>
          </xdr:nvSpPr>
          <xdr:spPr bwMode="auto">
            <a:xfrm>
              <a:off x="66" y="607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6" name="Line 422"/>
            <xdr:cNvSpPr>
              <a:spLocks noChangeShapeType="1"/>
            </xdr:cNvSpPr>
          </xdr:nvSpPr>
          <xdr:spPr bwMode="auto">
            <a:xfrm>
              <a:off x="69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7" name="Freeform 423"/>
            <xdr:cNvSpPr>
              <a:spLocks/>
            </xdr:cNvSpPr>
          </xdr:nvSpPr>
          <xdr:spPr bwMode="auto">
            <a:xfrm>
              <a:off x="72" y="606"/>
              <a:ext cx="2" cy="0"/>
            </a:xfrm>
            <a:custGeom>
              <a:avLst/>
              <a:gdLst>
                <a:gd name="T0" fmla="*/ 0 w 105"/>
                <a:gd name="T1" fmla="*/ 1 h 1"/>
                <a:gd name="T2" fmla="*/ 10 w 105"/>
                <a:gd name="T3" fmla="*/ 1 h 1"/>
                <a:gd name="T4" fmla="*/ 105 w 105"/>
                <a:gd name="T5" fmla="*/ 0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1">
                  <a:moveTo>
                    <a:pt x="0" y="1"/>
                  </a:moveTo>
                  <a:lnTo>
                    <a:pt x="10" y="1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88" name="Freeform 424"/>
            <xdr:cNvSpPr>
              <a:spLocks/>
            </xdr:cNvSpPr>
          </xdr:nvSpPr>
          <xdr:spPr bwMode="auto">
            <a:xfrm>
              <a:off x="75" y="606"/>
              <a:ext cx="2" cy="0"/>
            </a:xfrm>
            <a:custGeom>
              <a:avLst/>
              <a:gdLst>
                <a:gd name="T0" fmla="*/ 0 w 105"/>
                <a:gd name="T1" fmla="*/ 1 h 1"/>
                <a:gd name="T2" fmla="*/ 81 w 105"/>
                <a:gd name="T3" fmla="*/ 1 h 1"/>
                <a:gd name="T4" fmla="*/ 105 w 105"/>
                <a:gd name="T5" fmla="*/ 0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1">
                  <a:moveTo>
                    <a:pt x="0" y="1"/>
                  </a:moveTo>
                  <a:lnTo>
                    <a:pt x="81" y="1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89" name="Line 425"/>
            <xdr:cNvSpPr>
              <a:spLocks noChangeShapeType="1"/>
            </xdr:cNvSpPr>
          </xdr:nvSpPr>
          <xdr:spPr bwMode="auto">
            <a:xfrm flipV="1">
              <a:off x="79" y="606"/>
              <a:ext cx="1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0" name="Line 426"/>
            <xdr:cNvSpPr>
              <a:spLocks noChangeShapeType="1"/>
            </xdr:cNvSpPr>
          </xdr:nvSpPr>
          <xdr:spPr bwMode="auto">
            <a:xfrm flipV="1">
              <a:off x="82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1" name="Freeform 427"/>
            <xdr:cNvSpPr>
              <a:spLocks/>
            </xdr:cNvSpPr>
          </xdr:nvSpPr>
          <xdr:spPr bwMode="auto">
            <a:xfrm>
              <a:off x="85" y="606"/>
              <a:ext cx="2" cy="0"/>
            </a:xfrm>
            <a:custGeom>
              <a:avLst/>
              <a:gdLst>
                <a:gd name="T0" fmla="*/ 0 w 105"/>
                <a:gd name="T1" fmla="*/ 1 h 1"/>
                <a:gd name="T2" fmla="*/ 51 w 105"/>
                <a:gd name="T3" fmla="*/ 1 h 1"/>
                <a:gd name="T4" fmla="*/ 105 w 105"/>
                <a:gd name="T5" fmla="*/ 0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1">
                  <a:moveTo>
                    <a:pt x="0" y="1"/>
                  </a:moveTo>
                  <a:lnTo>
                    <a:pt x="51" y="1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92" name="Line 428"/>
            <xdr:cNvSpPr>
              <a:spLocks noChangeShapeType="1"/>
            </xdr:cNvSpPr>
          </xdr:nvSpPr>
          <xdr:spPr bwMode="auto">
            <a:xfrm flipV="1">
              <a:off x="88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3" name="Line 429"/>
            <xdr:cNvSpPr>
              <a:spLocks noChangeShapeType="1"/>
            </xdr:cNvSpPr>
          </xdr:nvSpPr>
          <xdr:spPr bwMode="auto">
            <a:xfrm flipV="1">
              <a:off x="91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4" name="Freeform 430"/>
            <xdr:cNvSpPr>
              <a:spLocks/>
            </xdr:cNvSpPr>
          </xdr:nvSpPr>
          <xdr:spPr bwMode="auto">
            <a:xfrm>
              <a:off x="94" y="606"/>
              <a:ext cx="2" cy="0"/>
            </a:xfrm>
            <a:custGeom>
              <a:avLst/>
              <a:gdLst>
                <a:gd name="T0" fmla="*/ 0 w 105"/>
                <a:gd name="T1" fmla="*/ 2 h 2"/>
                <a:gd name="T2" fmla="*/ 22 w 105"/>
                <a:gd name="T3" fmla="*/ 2 h 2"/>
                <a:gd name="T4" fmla="*/ 105 w 105"/>
                <a:gd name="T5" fmla="*/ 0 h 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2">
                  <a:moveTo>
                    <a:pt x="0" y="2"/>
                  </a:moveTo>
                  <a:lnTo>
                    <a:pt x="22" y="2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95" name="Freeform 431"/>
            <xdr:cNvSpPr>
              <a:spLocks/>
            </xdr:cNvSpPr>
          </xdr:nvSpPr>
          <xdr:spPr bwMode="auto">
            <a:xfrm>
              <a:off x="97" y="606"/>
              <a:ext cx="2" cy="0"/>
            </a:xfrm>
            <a:custGeom>
              <a:avLst/>
              <a:gdLst>
                <a:gd name="T0" fmla="*/ 0 w 105"/>
                <a:gd name="T1" fmla="*/ 2 h 2"/>
                <a:gd name="T2" fmla="*/ 92 w 105"/>
                <a:gd name="T3" fmla="*/ 1 h 2"/>
                <a:gd name="T4" fmla="*/ 105 w 105"/>
                <a:gd name="T5" fmla="*/ 0 h 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2">
                  <a:moveTo>
                    <a:pt x="0" y="2"/>
                  </a:moveTo>
                  <a:lnTo>
                    <a:pt x="92" y="1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96" name="Line 432"/>
            <xdr:cNvSpPr>
              <a:spLocks noChangeShapeType="1"/>
            </xdr:cNvSpPr>
          </xdr:nvSpPr>
          <xdr:spPr bwMode="auto">
            <a:xfrm flipV="1">
              <a:off x="101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7" name="Line 433"/>
            <xdr:cNvSpPr>
              <a:spLocks noChangeShapeType="1"/>
            </xdr:cNvSpPr>
          </xdr:nvSpPr>
          <xdr:spPr bwMode="auto">
            <a:xfrm flipV="1">
              <a:off x="104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8" name="Freeform 434"/>
            <xdr:cNvSpPr>
              <a:spLocks/>
            </xdr:cNvSpPr>
          </xdr:nvSpPr>
          <xdr:spPr bwMode="auto">
            <a:xfrm>
              <a:off x="107" y="606"/>
              <a:ext cx="2" cy="0"/>
            </a:xfrm>
            <a:custGeom>
              <a:avLst/>
              <a:gdLst>
                <a:gd name="T0" fmla="*/ 0 w 105"/>
                <a:gd name="T1" fmla="*/ 4 h 4"/>
                <a:gd name="T2" fmla="*/ 62 w 105"/>
                <a:gd name="T3" fmla="*/ 2 h 4"/>
                <a:gd name="T4" fmla="*/ 105 w 105"/>
                <a:gd name="T5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4">
                  <a:moveTo>
                    <a:pt x="0" y="4"/>
                  </a:moveTo>
                  <a:lnTo>
                    <a:pt x="62" y="2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99" name="Line 435"/>
            <xdr:cNvSpPr>
              <a:spLocks noChangeShapeType="1"/>
            </xdr:cNvSpPr>
          </xdr:nvSpPr>
          <xdr:spPr bwMode="auto">
            <a:xfrm flipV="1">
              <a:off x="110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00" name="Line 436"/>
            <xdr:cNvSpPr>
              <a:spLocks noChangeShapeType="1"/>
            </xdr:cNvSpPr>
          </xdr:nvSpPr>
          <xdr:spPr bwMode="auto">
            <a:xfrm flipV="1">
              <a:off x="113" y="60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01" name="Freeform 437"/>
            <xdr:cNvSpPr>
              <a:spLocks/>
            </xdr:cNvSpPr>
          </xdr:nvSpPr>
          <xdr:spPr bwMode="auto">
            <a:xfrm>
              <a:off x="116" y="605"/>
              <a:ext cx="2" cy="0"/>
            </a:xfrm>
            <a:custGeom>
              <a:avLst/>
              <a:gdLst>
                <a:gd name="T0" fmla="*/ 0 w 105"/>
                <a:gd name="T1" fmla="*/ 7 h 7"/>
                <a:gd name="T2" fmla="*/ 33 w 105"/>
                <a:gd name="T3" fmla="*/ 6 h 7"/>
                <a:gd name="T4" fmla="*/ 105 w 105"/>
                <a:gd name="T5" fmla="*/ 0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7">
                  <a:moveTo>
                    <a:pt x="0" y="7"/>
                  </a:moveTo>
                  <a:lnTo>
                    <a:pt x="33" y="6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02" name="Freeform 438"/>
            <xdr:cNvSpPr>
              <a:spLocks/>
            </xdr:cNvSpPr>
          </xdr:nvSpPr>
          <xdr:spPr bwMode="auto">
            <a:xfrm>
              <a:off x="120" y="605"/>
              <a:ext cx="2" cy="0"/>
            </a:xfrm>
            <a:custGeom>
              <a:avLst/>
              <a:gdLst>
                <a:gd name="T0" fmla="*/ 0 w 105"/>
                <a:gd name="T1" fmla="*/ 8 h 8"/>
                <a:gd name="T2" fmla="*/ 103 w 105"/>
                <a:gd name="T3" fmla="*/ 1 h 8"/>
                <a:gd name="T4" fmla="*/ 105 w 105"/>
                <a:gd name="T5" fmla="*/ 0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8">
                  <a:moveTo>
                    <a:pt x="0" y="8"/>
                  </a:moveTo>
                  <a:lnTo>
                    <a:pt x="103" y="1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03" name="Line 439"/>
            <xdr:cNvSpPr>
              <a:spLocks noChangeShapeType="1"/>
            </xdr:cNvSpPr>
          </xdr:nvSpPr>
          <xdr:spPr bwMode="auto">
            <a:xfrm flipV="1">
              <a:off x="123" y="605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04" name="Freeform 440"/>
            <xdr:cNvSpPr>
              <a:spLocks/>
            </xdr:cNvSpPr>
          </xdr:nvSpPr>
          <xdr:spPr bwMode="auto">
            <a:xfrm>
              <a:off x="126" y="605"/>
              <a:ext cx="2" cy="0"/>
            </a:xfrm>
            <a:custGeom>
              <a:avLst/>
              <a:gdLst>
                <a:gd name="T0" fmla="*/ 0 w 105"/>
                <a:gd name="T1" fmla="*/ 12 h 12"/>
                <a:gd name="T2" fmla="*/ 3 w 105"/>
                <a:gd name="T3" fmla="*/ 12 h 12"/>
                <a:gd name="T4" fmla="*/ 105 w 105"/>
                <a:gd name="T5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5" h="12">
                  <a:moveTo>
                    <a:pt x="0" y="12"/>
                  </a:moveTo>
                  <a:lnTo>
                    <a:pt x="3" y="12"/>
                  </a:lnTo>
                  <a:lnTo>
                    <a:pt x="10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05" name="Freeform 441"/>
            <xdr:cNvSpPr>
              <a:spLocks/>
            </xdr:cNvSpPr>
          </xdr:nvSpPr>
          <xdr:spPr bwMode="auto">
            <a:xfrm>
              <a:off x="129" y="604"/>
              <a:ext cx="2" cy="0"/>
            </a:xfrm>
            <a:custGeom>
              <a:avLst/>
              <a:gdLst>
                <a:gd name="T0" fmla="*/ 0 w 104"/>
                <a:gd name="T1" fmla="*/ 13 h 13"/>
                <a:gd name="T2" fmla="*/ 74 w 104"/>
                <a:gd name="T3" fmla="*/ 5 h 13"/>
                <a:gd name="T4" fmla="*/ 104 w 104"/>
                <a:gd name="T5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4" h="13">
                  <a:moveTo>
                    <a:pt x="0" y="13"/>
                  </a:moveTo>
                  <a:lnTo>
                    <a:pt x="74" y="5"/>
                  </a:lnTo>
                  <a:lnTo>
                    <a:pt x="104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06" name="Line 442"/>
            <xdr:cNvSpPr>
              <a:spLocks noChangeShapeType="1"/>
            </xdr:cNvSpPr>
          </xdr:nvSpPr>
          <xdr:spPr bwMode="auto">
            <a:xfrm flipV="1">
              <a:off x="132" y="604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07" name="Line 443"/>
            <xdr:cNvSpPr>
              <a:spLocks noChangeShapeType="1"/>
            </xdr:cNvSpPr>
          </xdr:nvSpPr>
          <xdr:spPr bwMode="auto">
            <a:xfrm flipV="1">
              <a:off x="135" y="603"/>
              <a:ext cx="2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08" name="Freeform 444"/>
            <xdr:cNvSpPr>
              <a:spLocks/>
            </xdr:cNvSpPr>
          </xdr:nvSpPr>
          <xdr:spPr bwMode="auto">
            <a:xfrm>
              <a:off x="138" y="603"/>
              <a:ext cx="2" cy="0"/>
            </a:xfrm>
            <a:custGeom>
              <a:avLst/>
              <a:gdLst>
                <a:gd name="T0" fmla="*/ 0 w 104"/>
                <a:gd name="T1" fmla="*/ 21 h 21"/>
                <a:gd name="T2" fmla="*/ 46 w 104"/>
                <a:gd name="T3" fmla="*/ 13 h 21"/>
                <a:gd name="T4" fmla="*/ 104 w 104"/>
                <a:gd name="T5" fmla="*/ 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4" h="21">
                  <a:moveTo>
                    <a:pt x="0" y="21"/>
                  </a:moveTo>
                  <a:lnTo>
                    <a:pt x="46" y="13"/>
                  </a:lnTo>
                  <a:lnTo>
                    <a:pt x="104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09" name="Line 445"/>
            <xdr:cNvSpPr>
              <a:spLocks noChangeShapeType="1"/>
            </xdr:cNvSpPr>
          </xdr:nvSpPr>
          <xdr:spPr bwMode="auto">
            <a:xfrm flipV="1">
              <a:off x="142" y="602"/>
              <a:ext cx="1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0" name="Line 446"/>
            <xdr:cNvSpPr>
              <a:spLocks noChangeShapeType="1"/>
            </xdr:cNvSpPr>
          </xdr:nvSpPr>
          <xdr:spPr bwMode="auto">
            <a:xfrm flipV="1">
              <a:off x="145" y="601"/>
              <a:ext cx="2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1" name="Freeform 447"/>
            <xdr:cNvSpPr>
              <a:spLocks/>
            </xdr:cNvSpPr>
          </xdr:nvSpPr>
          <xdr:spPr bwMode="auto">
            <a:xfrm>
              <a:off x="148" y="600"/>
              <a:ext cx="2" cy="1"/>
            </a:xfrm>
            <a:custGeom>
              <a:avLst/>
              <a:gdLst>
                <a:gd name="T0" fmla="*/ 0 w 102"/>
                <a:gd name="T1" fmla="*/ 30 h 30"/>
                <a:gd name="T2" fmla="*/ 26 w 102"/>
                <a:gd name="T3" fmla="*/ 24 h 30"/>
                <a:gd name="T4" fmla="*/ 102 w 102"/>
                <a:gd name="T5" fmla="*/ 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02" h="30">
                  <a:moveTo>
                    <a:pt x="0" y="30"/>
                  </a:moveTo>
                  <a:lnTo>
                    <a:pt x="26" y="24"/>
                  </a:lnTo>
                  <a:lnTo>
                    <a:pt x="102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12" name="Line 448"/>
            <xdr:cNvSpPr>
              <a:spLocks noChangeShapeType="1"/>
            </xdr:cNvSpPr>
          </xdr:nvSpPr>
          <xdr:spPr bwMode="auto">
            <a:xfrm flipV="1">
              <a:off x="151" y="599"/>
              <a:ext cx="2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3" name="Line 449"/>
            <xdr:cNvSpPr>
              <a:spLocks noChangeShapeType="1"/>
            </xdr:cNvSpPr>
          </xdr:nvSpPr>
          <xdr:spPr bwMode="auto">
            <a:xfrm flipV="1">
              <a:off x="154" y="598"/>
              <a:ext cx="2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4" name="Freeform 450"/>
            <xdr:cNvSpPr>
              <a:spLocks/>
            </xdr:cNvSpPr>
          </xdr:nvSpPr>
          <xdr:spPr bwMode="auto">
            <a:xfrm>
              <a:off x="157" y="597"/>
              <a:ext cx="2" cy="1"/>
            </a:xfrm>
            <a:custGeom>
              <a:avLst/>
              <a:gdLst>
                <a:gd name="T0" fmla="*/ 0 w 98"/>
                <a:gd name="T1" fmla="*/ 44 h 44"/>
                <a:gd name="T2" fmla="*/ 16 w 98"/>
                <a:gd name="T3" fmla="*/ 38 h 44"/>
                <a:gd name="T4" fmla="*/ 98 w 98"/>
                <a:gd name="T5" fmla="*/ 0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98" h="44">
                  <a:moveTo>
                    <a:pt x="0" y="44"/>
                  </a:moveTo>
                  <a:lnTo>
                    <a:pt x="16" y="38"/>
                  </a:lnTo>
                  <a:lnTo>
                    <a:pt x="98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15" name="Line 451"/>
            <xdr:cNvSpPr>
              <a:spLocks noChangeShapeType="1"/>
            </xdr:cNvSpPr>
          </xdr:nvSpPr>
          <xdr:spPr bwMode="auto">
            <a:xfrm flipV="1">
              <a:off x="160" y="596"/>
              <a:ext cx="2" cy="0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6" name="Line 452"/>
            <xdr:cNvSpPr>
              <a:spLocks noChangeShapeType="1"/>
            </xdr:cNvSpPr>
          </xdr:nvSpPr>
          <xdr:spPr bwMode="auto">
            <a:xfrm flipV="1">
              <a:off x="163" y="594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7" name="Freeform 453"/>
            <xdr:cNvSpPr>
              <a:spLocks/>
            </xdr:cNvSpPr>
          </xdr:nvSpPr>
          <xdr:spPr bwMode="auto">
            <a:xfrm>
              <a:off x="166" y="593"/>
              <a:ext cx="1" cy="1"/>
            </a:xfrm>
            <a:custGeom>
              <a:avLst/>
              <a:gdLst>
                <a:gd name="T0" fmla="*/ 0 w 92"/>
                <a:gd name="T1" fmla="*/ 55 h 55"/>
                <a:gd name="T2" fmla="*/ 28 w 92"/>
                <a:gd name="T3" fmla="*/ 40 h 55"/>
                <a:gd name="T4" fmla="*/ 92 w 92"/>
                <a:gd name="T5" fmla="*/ 0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92" h="55">
                  <a:moveTo>
                    <a:pt x="0" y="55"/>
                  </a:moveTo>
                  <a:lnTo>
                    <a:pt x="28" y="40"/>
                  </a:lnTo>
                  <a:lnTo>
                    <a:pt x="92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18" name="Line 454"/>
            <xdr:cNvSpPr>
              <a:spLocks noChangeShapeType="1"/>
            </xdr:cNvSpPr>
          </xdr:nvSpPr>
          <xdr:spPr bwMode="auto">
            <a:xfrm flipV="1">
              <a:off x="168" y="591"/>
              <a:ext cx="2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9" name="Line 455"/>
            <xdr:cNvSpPr>
              <a:spLocks noChangeShapeType="1"/>
            </xdr:cNvSpPr>
          </xdr:nvSpPr>
          <xdr:spPr bwMode="auto">
            <a:xfrm flipV="1">
              <a:off x="171" y="589"/>
              <a:ext cx="2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20" name="Freeform 456"/>
            <xdr:cNvSpPr>
              <a:spLocks/>
            </xdr:cNvSpPr>
          </xdr:nvSpPr>
          <xdr:spPr bwMode="auto">
            <a:xfrm>
              <a:off x="174" y="587"/>
              <a:ext cx="1" cy="1"/>
            </a:xfrm>
            <a:custGeom>
              <a:avLst/>
              <a:gdLst>
                <a:gd name="T0" fmla="*/ 0 w 86"/>
                <a:gd name="T1" fmla="*/ 64 h 64"/>
                <a:gd name="T2" fmla="*/ 73 w 86"/>
                <a:gd name="T3" fmla="*/ 11 h 64"/>
                <a:gd name="T4" fmla="*/ 86 w 86"/>
                <a:gd name="T5" fmla="*/ 0 h 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86" h="64">
                  <a:moveTo>
                    <a:pt x="0" y="64"/>
                  </a:moveTo>
                  <a:lnTo>
                    <a:pt x="73" y="11"/>
                  </a:lnTo>
                  <a:lnTo>
                    <a:pt x="86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21" name="Line 457"/>
            <xdr:cNvSpPr>
              <a:spLocks noChangeShapeType="1"/>
            </xdr:cNvSpPr>
          </xdr:nvSpPr>
          <xdr:spPr bwMode="auto">
            <a:xfrm flipV="1">
              <a:off x="176" y="585"/>
              <a:ext cx="2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22" name="Freeform 458"/>
            <xdr:cNvSpPr>
              <a:spLocks/>
            </xdr:cNvSpPr>
          </xdr:nvSpPr>
          <xdr:spPr bwMode="auto">
            <a:xfrm>
              <a:off x="179" y="583"/>
              <a:ext cx="1" cy="1"/>
            </a:xfrm>
            <a:custGeom>
              <a:avLst/>
              <a:gdLst>
                <a:gd name="T0" fmla="*/ 0 w 80"/>
                <a:gd name="T1" fmla="*/ 71 h 71"/>
                <a:gd name="T2" fmla="*/ 43 w 80"/>
                <a:gd name="T3" fmla="*/ 35 h 71"/>
                <a:gd name="T4" fmla="*/ 80 w 80"/>
                <a:gd name="T5" fmla="*/ 0 h 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80" h="71">
                  <a:moveTo>
                    <a:pt x="0" y="71"/>
                  </a:moveTo>
                  <a:lnTo>
                    <a:pt x="43" y="35"/>
                  </a:lnTo>
                  <a:lnTo>
                    <a:pt x="80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23" name="Line 459"/>
            <xdr:cNvSpPr>
              <a:spLocks noChangeShapeType="1"/>
            </xdr:cNvSpPr>
          </xdr:nvSpPr>
          <xdr:spPr bwMode="auto">
            <a:xfrm flipV="1">
              <a:off x="181" y="581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24" name="Freeform 460"/>
            <xdr:cNvSpPr>
              <a:spLocks/>
            </xdr:cNvSpPr>
          </xdr:nvSpPr>
          <xdr:spPr bwMode="auto">
            <a:xfrm>
              <a:off x="183" y="579"/>
              <a:ext cx="2" cy="1"/>
            </a:xfrm>
            <a:custGeom>
              <a:avLst/>
              <a:gdLst>
                <a:gd name="T0" fmla="*/ 0 w 75"/>
                <a:gd name="T1" fmla="*/ 78 h 78"/>
                <a:gd name="T2" fmla="*/ 32 w 75"/>
                <a:gd name="T3" fmla="*/ 47 h 78"/>
                <a:gd name="T4" fmla="*/ 75 w 75"/>
                <a:gd name="T5" fmla="*/ 0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75" h="78">
                  <a:moveTo>
                    <a:pt x="0" y="78"/>
                  </a:moveTo>
                  <a:lnTo>
                    <a:pt x="32" y="47"/>
                  </a:lnTo>
                  <a:lnTo>
                    <a:pt x="75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25" name="Line 461"/>
            <xdr:cNvSpPr>
              <a:spLocks noChangeShapeType="1"/>
            </xdr:cNvSpPr>
          </xdr:nvSpPr>
          <xdr:spPr bwMode="auto">
            <a:xfrm flipV="1">
              <a:off x="186" y="576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26" name="Freeform 462"/>
            <xdr:cNvSpPr>
              <a:spLocks/>
            </xdr:cNvSpPr>
          </xdr:nvSpPr>
          <xdr:spPr bwMode="auto">
            <a:xfrm>
              <a:off x="188" y="574"/>
              <a:ext cx="1" cy="1"/>
            </a:xfrm>
            <a:custGeom>
              <a:avLst/>
              <a:gdLst>
                <a:gd name="T0" fmla="*/ 0 w 70"/>
                <a:gd name="T1" fmla="*/ 81 h 81"/>
                <a:gd name="T2" fmla="*/ 33 w 70"/>
                <a:gd name="T3" fmla="*/ 45 h 81"/>
                <a:gd name="T4" fmla="*/ 70 w 70"/>
                <a:gd name="T5" fmla="*/ 0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70" h="81">
                  <a:moveTo>
                    <a:pt x="0" y="81"/>
                  </a:moveTo>
                  <a:lnTo>
                    <a:pt x="33" y="45"/>
                  </a:lnTo>
                  <a:lnTo>
                    <a:pt x="70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27" name="Line 463"/>
            <xdr:cNvSpPr>
              <a:spLocks noChangeShapeType="1"/>
            </xdr:cNvSpPr>
          </xdr:nvSpPr>
          <xdr:spPr bwMode="auto">
            <a:xfrm flipV="1">
              <a:off x="190" y="571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28" name="Freeform 464"/>
            <xdr:cNvSpPr>
              <a:spLocks/>
            </xdr:cNvSpPr>
          </xdr:nvSpPr>
          <xdr:spPr bwMode="auto">
            <a:xfrm>
              <a:off x="192" y="569"/>
              <a:ext cx="1" cy="1"/>
            </a:xfrm>
            <a:custGeom>
              <a:avLst/>
              <a:gdLst>
                <a:gd name="T0" fmla="*/ 0 w 67"/>
                <a:gd name="T1" fmla="*/ 85 h 85"/>
                <a:gd name="T2" fmla="*/ 55 w 67"/>
                <a:gd name="T3" fmla="*/ 17 h 85"/>
                <a:gd name="T4" fmla="*/ 67 w 67"/>
                <a:gd name="T5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67" h="85">
                  <a:moveTo>
                    <a:pt x="0" y="85"/>
                  </a:moveTo>
                  <a:lnTo>
                    <a:pt x="55" y="17"/>
                  </a:lnTo>
                  <a:lnTo>
                    <a:pt x="67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29" name="Line 465"/>
            <xdr:cNvSpPr>
              <a:spLocks noChangeShapeType="1"/>
            </xdr:cNvSpPr>
          </xdr:nvSpPr>
          <xdr:spPr bwMode="auto">
            <a:xfrm flipV="1">
              <a:off x="194" y="566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0" name="Line 466"/>
            <xdr:cNvSpPr>
              <a:spLocks noChangeShapeType="1"/>
            </xdr:cNvSpPr>
          </xdr:nvSpPr>
          <xdr:spPr bwMode="auto">
            <a:xfrm flipV="1">
              <a:off x="196" y="563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1" name="Line 467"/>
            <xdr:cNvSpPr>
              <a:spLocks noChangeShapeType="1"/>
            </xdr:cNvSpPr>
          </xdr:nvSpPr>
          <xdr:spPr bwMode="auto">
            <a:xfrm flipV="1">
              <a:off x="198" y="560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2" name="Line 468"/>
            <xdr:cNvSpPr>
              <a:spLocks noChangeShapeType="1"/>
            </xdr:cNvSpPr>
          </xdr:nvSpPr>
          <xdr:spPr bwMode="auto">
            <a:xfrm flipV="1">
              <a:off x="200" y="558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3" name="Freeform 469"/>
            <xdr:cNvSpPr>
              <a:spLocks/>
            </xdr:cNvSpPr>
          </xdr:nvSpPr>
          <xdr:spPr bwMode="auto">
            <a:xfrm>
              <a:off x="202" y="555"/>
              <a:ext cx="1" cy="1"/>
            </a:xfrm>
            <a:custGeom>
              <a:avLst/>
              <a:gdLst>
                <a:gd name="T0" fmla="*/ 0 w 57"/>
                <a:gd name="T1" fmla="*/ 95 h 95"/>
                <a:gd name="T2" fmla="*/ 14 w 57"/>
                <a:gd name="T3" fmla="*/ 73 h 95"/>
                <a:gd name="T4" fmla="*/ 57 w 57"/>
                <a:gd name="T5" fmla="*/ 0 h 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57" h="95">
                  <a:moveTo>
                    <a:pt x="0" y="95"/>
                  </a:moveTo>
                  <a:lnTo>
                    <a:pt x="14" y="73"/>
                  </a:lnTo>
                  <a:lnTo>
                    <a:pt x="57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34" name="Line 470"/>
            <xdr:cNvSpPr>
              <a:spLocks noChangeShapeType="1"/>
            </xdr:cNvSpPr>
          </xdr:nvSpPr>
          <xdr:spPr bwMode="auto">
            <a:xfrm flipV="1">
              <a:off x="203" y="552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5" name="Line 471"/>
            <xdr:cNvSpPr>
              <a:spLocks noChangeShapeType="1"/>
            </xdr:cNvSpPr>
          </xdr:nvSpPr>
          <xdr:spPr bwMode="auto">
            <a:xfrm flipV="1">
              <a:off x="205" y="549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6" name="Line 472"/>
            <xdr:cNvSpPr>
              <a:spLocks noChangeShapeType="1"/>
            </xdr:cNvSpPr>
          </xdr:nvSpPr>
          <xdr:spPr bwMode="auto">
            <a:xfrm flipV="1">
              <a:off x="207" y="546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7" name="Line 473"/>
            <xdr:cNvSpPr>
              <a:spLocks noChangeShapeType="1"/>
            </xdr:cNvSpPr>
          </xdr:nvSpPr>
          <xdr:spPr bwMode="auto">
            <a:xfrm flipV="1">
              <a:off x="208" y="543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8" name="Line 474"/>
            <xdr:cNvSpPr>
              <a:spLocks noChangeShapeType="1"/>
            </xdr:cNvSpPr>
          </xdr:nvSpPr>
          <xdr:spPr bwMode="auto">
            <a:xfrm flipV="1">
              <a:off x="210" y="540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9" name="Line 475"/>
            <xdr:cNvSpPr>
              <a:spLocks noChangeShapeType="1"/>
            </xdr:cNvSpPr>
          </xdr:nvSpPr>
          <xdr:spPr bwMode="auto">
            <a:xfrm flipV="1">
              <a:off x="211" y="538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0" name="Line 476"/>
            <xdr:cNvSpPr>
              <a:spLocks noChangeShapeType="1"/>
            </xdr:cNvSpPr>
          </xdr:nvSpPr>
          <xdr:spPr bwMode="auto">
            <a:xfrm flipV="1">
              <a:off x="213" y="535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1" name="Line 477"/>
            <xdr:cNvSpPr>
              <a:spLocks noChangeShapeType="1"/>
            </xdr:cNvSpPr>
          </xdr:nvSpPr>
          <xdr:spPr bwMode="auto">
            <a:xfrm flipV="1">
              <a:off x="214" y="532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2" name="Line 478"/>
            <xdr:cNvSpPr>
              <a:spLocks noChangeShapeType="1"/>
            </xdr:cNvSpPr>
          </xdr:nvSpPr>
          <xdr:spPr bwMode="auto">
            <a:xfrm flipV="1">
              <a:off x="215" y="529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3" name="Line 479"/>
            <xdr:cNvSpPr>
              <a:spLocks noChangeShapeType="1"/>
            </xdr:cNvSpPr>
          </xdr:nvSpPr>
          <xdr:spPr bwMode="auto">
            <a:xfrm flipV="1">
              <a:off x="217" y="526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4" name="Line 480"/>
            <xdr:cNvSpPr>
              <a:spLocks noChangeShapeType="1"/>
            </xdr:cNvSpPr>
          </xdr:nvSpPr>
          <xdr:spPr bwMode="auto">
            <a:xfrm flipV="1">
              <a:off x="218" y="523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5" name="Freeform 481"/>
            <xdr:cNvSpPr>
              <a:spLocks/>
            </xdr:cNvSpPr>
          </xdr:nvSpPr>
          <xdr:spPr bwMode="auto">
            <a:xfrm>
              <a:off x="220" y="520"/>
              <a:ext cx="0" cy="2"/>
            </a:xfrm>
            <a:custGeom>
              <a:avLst/>
              <a:gdLst>
                <a:gd name="T0" fmla="*/ 0 w 42"/>
                <a:gd name="T1" fmla="*/ 98 h 98"/>
                <a:gd name="T2" fmla="*/ 6 w 42"/>
                <a:gd name="T3" fmla="*/ 84 h 98"/>
                <a:gd name="T4" fmla="*/ 42 w 42"/>
                <a:gd name="T5" fmla="*/ 0 h 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42" h="98">
                  <a:moveTo>
                    <a:pt x="0" y="98"/>
                  </a:moveTo>
                  <a:lnTo>
                    <a:pt x="6" y="84"/>
                  </a:lnTo>
                  <a:lnTo>
                    <a:pt x="42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46" name="Line 482"/>
            <xdr:cNvSpPr>
              <a:spLocks noChangeShapeType="1"/>
            </xdr:cNvSpPr>
          </xdr:nvSpPr>
          <xdr:spPr bwMode="auto">
            <a:xfrm flipV="1">
              <a:off x="221" y="517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7" name="Line 483"/>
            <xdr:cNvSpPr>
              <a:spLocks noChangeShapeType="1"/>
            </xdr:cNvSpPr>
          </xdr:nvSpPr>
          <xdr:spPr bwMode="auto">
            <a:xfrm flipV="1">
              <a:off x="222" y="514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8" name="Freeform 484"/>
            <xdr:cNvSpPr>
              <a:spLocks/>
            </xdr:cNvSpPr>
          </xdr:nvSpPr>
          <xdr:spPr bwMode="auto">
            <a:xfrm>
              <a:off x="223" y="511"/>
              <a:ext cx="1" cy="2"/>
            </a:xfrm>
            <a:custGeom>
              <a:avLst/>
              <a:gdLst>
                <a:gd name="T0" fmla="*/ 0 w 42"/>
                <a:gd name="T1" fmla="*/ 98 h 98"/>
                <a:gd name="T2" fmla="*/ 41 w 42"/>
                <a:gd name="T3" fmla="*/ 2 h 98"/>
                <a:gd name="T4" fmla="*/ 42 w 42"/>
                <a:gd name="T5" fmla="*/ 0 h 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42" h="98">
                  <a:moveTo>
                    <a:pt x="0" y="98"/>
                  </a:moveTo>
                  <a:lnTo>
                    <a:pt x="41" y="2"/>
                  </a:lnTo>
                  <a:lnTo>
                    <a:pt x="42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49" name="Line 485"/>
            <xdr:cNvSpPr>
              <a:spLocks noChangeShapeType="1"/>
            </xdr:cNvSpPr>
          </xdr:nvSpPr>
          <xdr:spPr bwMode="auto">
            <a:xfrm flipV="1">
              <a:off x="225" y="509"/>
              <a:ext cx="0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0" name="Line 486"/>
            <xdr:cNvSpPr>
              <a:spLocks noChangeShapeType="1"/>
            </xdr:cNvSpPr>
          </xdr:nvSpPr>
          <xdr:spPr bwMode="auto">
            <a:xfrm flipV="1">
              <a:off x="226" y="506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1" name="Line 487"/>
            <xdr:cNvSpPr>
              <a:spLocks noChangeShapeType="1"/>
            </xdr:cNvSpPr>
          </xdr:nvSpPr>
          <xdr:spPr bwMode="auto">
            <a:xfrm flipV="1">
              <a:off x="227" y="503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2" name="Freeform 488"/>
            <xdr:cNvSpPr>
              <a:spLocks/>
            </xdr:cNvSpPr>
          </xdr:nvSpPr>
          <xdr:spPr bwMode="auto">
            <a:xfrm>
              <a:off x="228" y="500"/>
              <a:ext cx="1" cy="2"/>
            </a:xfrm>
            <a:custGeom>
              <a:avLst/>
              <a:gdLst>
                <a:gd name="T0" fmla="*/ 0 w 40"/>
                <a:gd name="T1" fmla="*/ 101 h 101"/>
                <a:gd name="T2" fmla="*/ 19 w 40"/>
                <a:gd name="T3" fmla="*/ 53 h 101"/>
                <a:gd name="T4" fmla="*/ 40 w 40"/>
                <a:gd name="T5" fmla="*/ 0 h 1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40" h="101">
                  <a:moveTo>
                    <a:pt x="0" y="101"/>
                  </a:moveTo>
                  <a:lnTo>
                    <a:pt x="19" y="53"/>
                  </a:lnTo>
                  <a:lnTo>
                    <a:pt x="40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53" name="Line 489"/>
            <xdr:cNvSpPr>
              <a:spLocks noChangeShapeType="1"/>
            </xdr:cNvSpPr>
          </xdr:nvSpPr>
          <xdr:spPr bwMode="auto">
            <a:xfrm flipV="1">
              <a:off x="229" y="497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4" name="Line 490"/>
            <xdr:cNvSpPr>
              <a:spLocks noChangeShapeType="1"/>
            </xdr:cNvSpPr>
          </xdr:nvSpPr>
          <xdr:spPr bwMode="auto">
            <a:xfrm flipV="1">
              <a:off x="231" y="493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5" name="Line 491"/>
            <xdr:cNvSpPr>
              <a:spLocks noChangeShapeType="1"/>
            </xdr:cNvSpPr>
          </xdr:nvSpPr>
          <xdr:spPr bwMode="auto">
            <a:xfrm flipV="1">
              <a:off x="232" y="490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6" name="Line 492"/>
            <xdr:cNvSpPr>
              <a:spLocks noChangeShapeType="1"/>
            </xdr:cNvSpPr>
          </xdr:nvSpPr>
          <xdr:spPr bwMode="auto">
            <a:xfrm flipV="1">
              <a:off x="233" y="487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7" name="Line 493"/>
            <xdr:cNvSpPr>
              <a:spLocks noChangeShapeType="1"/>
            </xdr:cNvSpPr>
          </xdr:nvSpPr>
          <xdr:spPr bwMode="auto">
            <a:xfrm flipV="1">
              <a:off x="234" y="484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8" name="Line 494"/>
            <xdr:cNvSpPr>
              <a:spLocks noChangeShapeType="1"/>
            </xdr:cNvSpPr>
          </xdr:nvSpPr>
          <xdr:spPr bwMode="auto">
            <a:xfrm flipV="1">
              <a:off x="236" y="481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59" name="Line 495"/>
            <xdr:cNvSpPr>
              <a:spLocks noChangeShapeType="1"/>
            </xdr:cNvSpPr>
          </xdr:nvSpPr>
          <xdr:spPr bwMode="auto">
            <a:xfrm flipV="1">
              <a:off x="237" y="478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0" name="Line 496"/>
            <xdr:cNvSpPr>
              <a:spLocks noChangeShapeType="1"/>
            </xdr:cNvSpPr>
          </xdr:nvSpPr>
          <xdr:spPr bwMode="auto">
            <a:xfrm flipV="1">
              <a:off x="238" y="475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1" name="Line 497"/>
            <xdr:cNvSpPr>
              <a:spLocks noChangeShapeType="1"/>
            </xdr:cNvSpPr>
          </xdr:nvSpPr>
          <xdr:spPr bwMode="auto">
            <a:xfrm flipV="1">
              <a:off x="239" y="472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2" name="Line 498"/>
            <xdr:cNvSpPr>
              <a:spLocks noChangeShapeType="1"/>
            </xdr:cNvSpPr>
          </xdr:nvSpPr>
          <xdr:spPr bwMode="auto">
            <a:xfrm flipV="1">
              <a:off x="240" y="468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3" name="Freeform 499"/>
            <xdr:cNvSpPr>
              <a:spLocks/>
            </xdr:cNvSpPr>
          </xdr:nvSpPr>
          <xdr:spPr bwMode="auto">
            <a:xfrm>
              <a:off x="241" y="465"/>
              <a:ext cx="1" cy="2"/>
            </a:xfrm>
            <a:custGeom>
              <a:avLst/>
              <a:gdLst>
                <a:gd name="T0" fmla="*/ 0 w 39"/>
                <a:gd name="T1" fmla="*/ 105 h 105"/>
                <a:gd name="T2" fmla="*/ 30 w 39"/>
                <a:gd name="T3" fmla="*/ 23 h 105"/>
                <a:gd name="T4" fmla="*/ 39 w 39"/>
                <a:gd name="T5" fmla="*/ 0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9" h="105">
                  <a:moveTo>
                    <a:pt x="0" y="105"/>
                  </a:moveTo>
                  <a:lnTo>
                    <a:pt x="30" y="23"/>
                  </a:lnTo>
                  <a:lnTo>
                    <a:pt x="39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64" name="Line 500"/>
            <xdr:cNvSpPr>
              <a:spLocks noChangeShapeType="1"/>
            </xdr:cNvSpPr>
          </xdr:nvSpPr>
          <xdr:spPr bwMode="auto">
            <a:xfrm flipV="1">
              <a:off x="243" y="462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5" name="Line 501"/>
            <xdr:cNvSpPr>
              <a:spLocks noChangeShapeType="1"/>
            </xdr:cNvSpPr>
          </xdr:nvSpPr>
          <xdr:spPr bwMode="auto">
            <a:xfrm flipV="1">
              <a:off x="244" y="459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6" name="Line 502"/>
            <xdr:cNvSpPr>
              <a:spLocks noChangeShapeType="1"/>
            </xdr:cNvSpPr>
          </xdr:nvSpPr>
          <xdr:spPr bwMode="auto">
            <a:xfrm flipV="1">
              <a:off x="245" y="456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7" name="Freeform 503"/>
            <xdr:cNvSpPr>
              <a:spLocks/>
            </xdr:cNvSpPr>
          </xdr:nvSpPr>
          <xdr:spPr bwMode="auto">
            <a:xfrm>
              <a:off x="246" y="453"/>
              <a:ext cx="1" cy="2"/>
            </a:xfrm>
            <a:custGeom>
              <a:avLst/>
              <a:gdLst>
                <a:gd name="T0" fmla="*/ 0 w 38"/>
                <a:gd name="T1" fmla="*/ 105 h 105"/>
                <a:gd name="T2" fmla="*/ 21 w 38"/>
                <a:gd name="T3" fmla="*/ 45 h 105"/>
                <a:gd name="T4" fmla="*/ 38 w 38"/>
                <a:gd name="T5" fmla="*/ 0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8" h="105">
                  <a:moveTo>
                    <a:pt x="0" y="105"/>
                  </a:moveTo>
                  <a:lnTo>
                    <a:pt x="21" y="45"/>
                  </a:lnTo>
                  <a:lnTo>
                    <a:pt x="38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68" name="Line 504"/>
            <xdr:cNvSpPr>
              <a:spLocks noChangeShapeType="1"/>
            </xdr:cNvSpPr>
          </xdr:nvSpPr>
          <xdr:spPr bwMode="auto">
            <a:xfrm flipV="1">
              <a:off x="247" y="450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69" name="Line 505"/>
            <xdr:cNvSpPr>
              <a:spLocks noChangeShapeType="1"/>
            </xdr:cNvSpPr>
          </xdr:nvSpPr>
          <xdr:spPr bwMode="auto">
            <a:xfrm flipV="1">
              <a:off x="248" y="447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0" name="Line 506"/>
            <xdr:cNvSpPr>
              <a:spLocks noChangeShapeType="1"/>
            </xdr:cNvSpPr>
          </xdr:nvSpPr>
          <xdr:spPr bwMode="auto">
            <a:xfrm flipV="1">
              <a:off x="249" y="444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1" name="Freeform 507"/>
            <xdr:cNvSpPr>
              <a:spLocks/>
            </xdr:cNvSpPr>
          </xdr:nvSpPr>
          <xdr:spPr bwMode="auto">
            <a:xfrm>
              <a:off x="251" y="440"/>
              <a:ext cx="0" cy="2"/>
            </a:xfrm>
            <a:custGeom>
              <a:avLst/>
              <a:gdLst>
                <a:gd name="T0" fmla="*/ 0 w 39"/>
                <a:gd name="T1" fmla="*/ 105 h 105"/>
                <a:gd name="T2" fmla="*/ 13 w 39"/>
                <a:gd name="T3" fmla="*/ 68 h 105"/>
                <a:gd name="T4" fmla="*/ 39 w 39"/>
                <a:gd name="T5" fmla="*/ 0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9" h="105">
                  <a:moveTo>
                    <a:pt x="0" y="105"/>
                  </a:moveTo>
                  <a:lnTo>
                    <a:pt x="13" y="68"/>
                  </a:lnTo>
                  <a:lnTo>
                    <a:pt x="39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72" name="Line 508"/>
            <xdr:cNvSpPr>
              <a:spLocks noChangeShapeType="1"/>
            </xdr:cNvSpPr>
          </xdr:nvSpPr>
          <xdr:spPr bwMode="auto">
            <a:xfrm flipV="1">
              <a:off x="252" y="437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3" name="Line 509"/>
            <xdr:cNvSpPr>
              <a:spLocks noChangeShapeType="1"/>
            </xdr:cNvSpPr>
          </xdr:nvSpPr>
          <xdr:spPr bwMode="auto">
            <a:xfrm flipV="1">
              <a:off x="253" y="434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4" name="Line 510"/>
            <xdr:cNvSpPr>
              <a:spLocks noChangeShapeType="1"/>
            </xdr:cNvSpPr>
          </xdr:nvSpPr>
          <xdr:spPr bwMode="auto">
            <a:xfrm flipV="1">
              <a:off x="254" y="431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5" name="Freeform 511"/>
            <xdr:cNvSpPr>
              <a:spLocks/>
            </xdr:cNvSpPr>
          </xdr:nvSpPr>
          <xdr:spPr bwMode="auto">
            <a:xfrm>
              <a:off x="255" y="428"/>
              <a:ext cx="1" cy="2"/>
            </a:xfrm>
            <a:custGeom>
              <a:avLst/>
              <a:gdLst>
                <a:gd name="T0" fmla="*/ 0 w 40"/>
                <a:gd name="T1" fmla="*/ 105 h 105"/>
                <a:gd name="T2" fmla="*/ 1 w 40"/>
                <a:gd name="T3" fmla="*/ 100 h 105"/>
                <a:gd name="T4" fmla="*/ 40 w 40"/>
                <a:gd name="T5" fmla="*/ 0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40" h="105">
                  <a:moveTo>
                    <a:pt x="0" y="105"/>
                  </a:moveTo>
                  <a:lnTo>
                    <a:pt x="1" y="100"/>
                  </a:lnTo>
                  <a:lnTo>
                    <a:pt x="40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76" name="Line 512"/>
            <xdr:cNvSpPr>
              <a:spLocks noChangeShapeType="1"/>
            </xdr:cNvSpPr>
          </xdr:nvSpPr>
          <xdr:spPr bwMode="auto">
            <a:xfrm flipV="1">
              <a:off x="257" y="425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7" name="Line 513"/>
            <xdr:cNvSpPr>
              <a:spLocks noChangeShapeType="1"/>
            </xdr:cNvSpPr>
          </xdr:nvSpPr>
          <xdr:spPr bwMode="auto">
            <a:xfrm flipV="1">
              <a:off x="258" y="422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8" name="Line 514"/>
            <xdr:cNvSpPr>
              <a:spLocks noChangeShapeType="1"/>
            </xdr:cNvSpPr>
          </xdr:nvSpPr>
          <xdr:spPr bwMode="auto">
            <a:xfrm flipV="1">
              <a:off x="259" y="419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79" name="Line 515"/>
            <xdr:cNvSpPr>
              <a:spLocks noChangeShapeType="1"/>
            </xdr:cNvSpPr>
          </xdr:nvSpPr>
          <xdr:spPr bwMode="auto">
            <a:xfrm flipV="1">
              <a:off x="260" y="415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0" name="Line 516"/>
            <xdr:cNvSpPr>
              <a:spLocks noChangeShapeType="1"/>
            </xdr:cNvSpPr>
          </xdr:nvSpPr>
          <xdr:spPr bwMode="auto">
            <a:xfrm flipV="1">
              <a:off x="261" y="412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1" name="Line 517"/>
            <xdr:cNvSpPr>
              <a:spLocks noChangeShapeType="1"/>
            </xdr:cNvSpPr>
          </xdr:nvSpPr>
          <xdr:spPr bwMode="auto">
            <a:xfrm flipV="1">
              <a:off x="263" y="409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2" name="Freeform 518"/>
            <xdr:cNvSpPr>
              <a:spLocks/>
            </xdr:cNvSpPr>
          </xdr:nvSpPr>
          <xdr:spPr bwMode="auto">
            <a:xfrm>
              <a:off x="264" y="406"/>
              <a:ext cx="1" cy="2"/>
            </a:xfrm>
            <a:custGeom>
              <a:avLst/>
              <a:gdLst>
                <a:gd name="T0" fmla="*/ 0 w 42"/>
                <a:gd name="T1" fmla="*/ 102 h 102"/>
                <a:gd name="T2" fmla="*/ 18 w 42"/>
                <a:gd name="T3" fmla="*/ 55 h 102"/>
                <a:gd name="T4" fmla="*/ 42 w 42"/>
                <a:gd name="T5" fmla="*/ 0 h 1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42" h="102">
                  <a:moveTo>
                    <a:pt x="0" y="102"/>
                  </a:moveTo>
                  <a:lnTo>
                    <a:pt x="18" y="55"/>
                  </a:lnTo>
                  <a:lnTo>
                    <a:pt x="42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83" name="Line 519"/>
            <xdr:cNvSpPr>
              <a:spLocks noChangeShapeType="1"/>
            </xdr:cNvSpPr>
          </xdr:nvSpPr>
          <xdr:spPr bwMode="auto">
            <a:xfrm flipV="1">
              <a:off x="265" y="403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4" name="Line 520"/>
            <xdr:cNvSpPr>
              <a:spLocks noChangeShapeType="1"/>
            </xdr:cNvSpPr>
          </xdr:nvSpPr>
          <xdr:spPr bwMode="auto">
            <a:xfrm flipV="1">
              <a:off x="266" y="400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5" name="Line 521"/>
            <xdr:cNvSpPr>
              <a:spLocks noChangeShapeType="1"/>
            </xdr:cNvSpPr>
          </xdr:nvSpPr>
          <xdr:spPr bwMode="auto">
            <a:xfrm flipV="1">
              <a:off x="268" y="397"/>
              <a:ext cx="0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6" name="Line 522"/>
            <xdr:cNvSpPr>
              <a:spLocks noChangeShapeType="1"/>
            </xdr:cNvSpPr>
          </xdr:nvSpPr>
          <xdr:spPr bwMode="auto">
            <a:xfrm flipV="1">
              <a:off x="269" y="394"/>
              <a:ext cx="1" cy="2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7" name="Line 523"/>
            <xdr:cNvSpPr>
              <a:spLocks noChangeShapeType="1"/>
            </xdr:cNvSpPr>
          </xdr:nvSpPr>
          <xdr:spPr bwMode="auto">
            <a:xfrm flipV="1">
              <a:off x="270" y="392"/>
              <a:ext cx="1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8" name="Line 524"/>
            <xdr:cNvSpPr>
              <a:spLocks noChangeShapeType="1"/>
            </xdr:cNvSpPr>
          </xdr:nvSpPr>
          <xdr:spPr bwMode="auto">
            <a:xfrm flipV="1">
              <a:off x="272" y="389"/>
              <a:ext cx="0" cy="1"/>
            </a:xfrm>
            <a:prstGeom prst="line">
              <a:avLst/>
            </a:pr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89" name="Freeform 525"/>
            <xdr:cNvSpPr>
              <a:spLocks/>
            </xdr:cNvSpPr>
          </xdr:nvSpPr>
          <xdr:spPr bwMode="auto">
            <a:xfrm>
              <a:off x="273" y="386"/>
              <a:ext cx="1" cy="2"/>
            </a:xfrm>
            <a:custGeom>
              <a:avLst/>
              <a:gdLst>
                <a:gd name="T0" fmla="*/ 0 w 49"/>
                <a:gd name="T1" fmla="*/ 97 h 97"/>
                <a:gd name="T2" fmla="*/ 8 w 49"/>
                <a:gd name="T3" fmla="*/ 79 h 97"/>
                <a:gd name="T4" fmla="*/ 49 w 49"/>
                <a:gd name="T5" fmla="*/ 0 h 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49" h="97">
                  <a:moveTo>
                    <a:pt x="0" y="97"/>
                  </a:moveTo>
                  <a:lnTo>
                    <a:pt x="8" y="79"/>
                  </a:lnTo>
                  <a:lnTo>
                    <a:pt x="49" y="0"/>
                  </a:lnTo>
                </a:path>
              </a:pathLst>
            </a:custGeom>
            <a:noFill/>
            <a:ln w="762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11791" name="Line 527"/>
          <xdr:cNvSpPr>
            <a:spLocks noChangeShapeType="1"/>
          </xdr:cNvSpPr>
        </xdr:nvSpPr>
        <xdr:spPr bwMode="auto">
          <a:xfrm flipV="1">
            <a:off x="275" y="383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92" name="Line 528"/>
          <xdr:cNvSpPr>
            <a:spLocks noChangeShapeType="1"/>
          </xdr:cNvSpPr>
        </xdr:nvSpPr>
        <xdr:spPr bwMode="auto">
          <a:xfrm flipV="1">
            <a:off x="276" y="380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93" name="Freeform 529"/>
          <xdr:cNvSpPr>
            <a:spLocks/>
          </xdr:cNvSpPr>
        </xdr:nvSpPr>
        <xdr:spPr bwMode="auto">
          <a:xfrm>
            <a:off x="278" y="377"/>
            <a:ext cx="1" cy="2"/>
          </a:xfrm>
          <a:custGeom>
            <a:avLst/>
            <a:gdLst>
              <a:gd name="T0" fmla="*/ 0 w 57"/>
              <a:gd name="T1" fmla="*/ 95 h 95"/>
              <a:gd name="T2" fmla="*/ 6 w 57"/>
              <a:gd name="T3" fmla="*/ 84 h 95"/>
              <a:gd name="T4" fmla="*/ 57 w 57"/>
              <a:gd name="T5" fmla="*/ 0 h 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57" h="95">
                <a:moveTo>
                  <a:pt x="0" y="95"/>
                </a:moveTo>
                <a:lnTo>
                  <a:pt x="6" y="84"/>
                </a:lnTo>
                <a:lnTo>
                  <a:pt x="57" y="0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94" name="Line 530"/>
          <xdr:cNvSpPr>
            <a:spLocks noChangeShapeType="1"/>
          </xdr:cNvSpPr>
        </xdr:nvSpPr>
        <xdr:spPr bwMode="auto">
          <a:xfrm flipV="1">
            <a:off x="279" y="374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95" name="Line 531"/>
          <xdr:cNvSpPr>
            <a:spLocks noChangeShapeType="1"/>
          </xdr:cNvSpPr>
        </xdr:nvSpPr>
        <xdr:spPr bwMode="auto">
          <a:xfrm flipV="1">
            <a:off x="281" y="372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96" name="Line 532"/>
          <xdr:cNvSpPr>
            <a:spLocks noChangeShapeType="1"/>
          </xdr:cNvSpPr>
        </xdr:nvSpPr>
        <xdr:spPr bwMode="auto">
          <a:xfrm flipV="1">
            <a:off x="283" y="369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97" name="Line 533"/>
          <xdr:cNvSpPr>
            <a:spLocks noChangeShapeType="1"/>
          </xdr:cNvSpPr>
        </xdr:nvSpPr>
        <xdr:spPr bwMode="auto">
          <a:xfrm flipV="1">
            <a:off x="285" y="366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99" name="Line 535"/>
          <xdr:cNvSpPr>
            <a:spLocks noChangeShapeType="1"/>
          </xdr:cNvSpPr>
        </xdr:nvSpPr>
        <xdr:spPr bwMode="auto">
          <a:xfrm flipV="1">
            <a:off x="289" y="361"/>
            <a:ext cx="2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0" name="Line 536"/>
          <xdr:cNvSpPr>
            <a:spLocks noChangeShapeType="1"/>
          </xdr:cNvSpPr>
        </xdr:nvSpPr>
        <xdr:spPr bwMode="auto">
          <a:xfrm flipV="1">
            <a:off x="292" y="359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1" name="Freeform 537"/>
          <xdr:cNvSpPr>
            <a:spLocks/>
          </xdr:cNvSpPr>
        </xdr:nvSpPr>
        <xdr:spPr bwMode="auto">
          <a:xfrm>
            <a:off x="294" y="357"/>
            <a:ext cx="2" cy="1"/>
          </a:xfrm>
          <a:custGeom>
            <a:avLst/>
            <a:gdLst>
              <a:gd name="T0" fmla="*/ 0 w 90"/>
              <a:gd name="T1" fmla="*/ 57 h 57"/>
              <a:gd name="T2" fmla="*/ 69 w 90"/>
              <a:gd name="T3" fmla="*/ 8 h 57"/>
              <a:gd name="T4" fmla="*/ 90 w 90"/>
              <a:gd name="T5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90" h="57">
                <a:moveTo>
                  <a:pt x="0" y="57"/>
                </a:moveTo>
                <a:lnTo>
                  <a:pt x="69" y="8"/>
                </a:lnTo>
                <a:lnTo>
                  <a:pt x="90" y="0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02" name="Line 538"/>
          <xdr:cNvSpPr>
            <a:spLocks noChangeShapeType="1"/>
          </xdr:cNvSpPr>
        </xdr:nvSpPr>
        <xdr:spPr bwMode="auto">
          <a:xfrm flipV="1">
            <a:off x="297" y="356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3" name="Line 539"/>
          <xdr:cNvSpPr>
            <a:spLocks noChangeShapeType="1"/>
          </xdr:cNvSpPr>
        </xdr:nvSpPr>
        <xdr:spPr bwMode="auto">
          <a:xfrm>
            <a:off x="300" y="356"/>
            <a:ext cx="2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4" name="Freeform 540"/>
          <xdr:cNvSpPr>
            <a:spLocks/>
          </xdr:cNvSpPr>
        </xdr:nvSpPr>
        <xdr:spPr bwMode="auto">
          <a:xfrm>
            <a:off x="303" y="356"/>
            <a:ext cx="2" cy="0"/>
          </a:xfrm>
          <a:custGeom>
            <a:avLst/>
            <a:gdLst>
              <a:gd name="T0" fmla="*/ 0 w 104"/>
              <a:gd name="T1" fmla="*/ 0 h 14"/>
              <a:gd name="T2" fmla="*/ 64 w 104"/>
              <a:gd name="T3" fmla="*/ 0 h 14"/>
              <a:gd name="T4" fmla="*/ 104 w 104"/>
              <a:gd name="T5" fmla="*/ 14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04" h="14">
                <a:moveTo>
                  <a:pt x="0" y="0"/>
                </a:moveTo>
                <a:lnTo>
                  <a:pt x="64" y="0"/>
                </a:lnTo>
                <a:lnTo>
                  <a:pt x="104" y="14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05" name="Line 541"/>
          <xdr:cNvSpPr>
            <a:spLocks noChangeShapeType="1"/>
          </xdr:cNvSpPr>
        </xdr:nvSpPr>
        <xdr:spPr bwMode="auto">
          <a:xfrm>
            <a:off x="306" y="357"/>
            <a:ext cx="2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6" name="Line 542"/>
          <xdr:cNvSpPr>
            <a:spLocks noChangeShapeType="1"/>
          </xdr:cNvSpPr>
        </xdr:nvSpPr>
        <xdr:spPr bwMode="auto">
          <a:xfrm>
            <a:off x="309" y="358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7" name="Freeform 543"/>
          <xdr:cNvSpPr>
            <a:spLocks/>
          </xdr:cNvSpPr>
        </xdr:nvSpPr>
        <xdr:spPr bwMode="auto">
          <a:xfrm>
            <a:off x="312" y="360"/>
            <a:ext cx="1" cy="1"/>
          </a:xfrm>
          <a:custGeom>
            <a:avLst/>
            <a:gdLst>
              <a:gd name="T0" fmla="*/ 0 w 86"/>
              <a:gd name="T1" fmla="*/ 0 h 64"/>
              <a:gd name="T2" fmla="*/ 78 w 86"/>
              <a:gd name="T3" fmla="*/ 55 h 64"/>
              <a:gd name="T4" fmla="*/ 86 w 86"/>
              <a:gd name="T5" fmla="*/ 64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86" h="64">
                <a:moveTo>
                  <a:pt x="0" y="0"/>
                </a:moveTo>
                <a:lnTo>
                  <a:pt x="78" y="55"/>
                </a:lnTo>
                <a:lnTo>
                  <a:pt x="86" y="64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08" name="Line 544"/>
          <xdr:cNvSpPr>
            <a:spLocks noChangeShapeType="1"/>
          </xdr:cNvSpPr>
        </xdr:nvSpPr>
        <xdr:spPr bwMode="auto">
          <a:xfrm>
            <a:off x="314" y="362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09" name="Freeform 545"/>
          <xdr:cNvSpPr>
            <a:spLocks/>
          </xdr:cNvSpPr>
        </xdr:nvSpPr>
        <xdr:spPr bwMode="auto">
          <a:xfrm>
            <a:off x="317" y="364"/>
            <a:ext cx="1" cy="2"/>
          </a:xfrm>
          <a:custGeom>
            <a:avLst/>
            <a:gdLst>
              <a:gd name="T0" fmla="*/ 0 w 75"/>
              <a:gd name="T1" fmla="*/ 0 h 82"/>
              <a:gd name="T2" fmla="*/ 61 w 75"/>
              <a:gd name="T3" fmla="*/ 63 h 82"/>
              <a:gd name="T4" fmla="*/ 75 w 75"/>
              <a:gd name="T5" fmla="*/ 82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75" h="82">
                <a:moveTo>
                  <a:pt x="0" y="0"/>
                </a:moveTo>
                <a:lnTo>
                  <a:pt x="61" y="63"/>
                </a:lnTo>
                <a:lnTo>
                  <a:pt x="75" y="82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10" name="Line 546"/>
          <xdr:cNvSpPr>
            <a:spLocks noChangeShapeType="1"/>
          </xdr:cNvSpPr>
        </xdr:nvSpPr>
        <xdr:spPr bwMode="auto">
          <a:xfrm>
            <a:off x="319" y="367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1" name="Line 547"/>
          <xdr:cNvSpPr>
            <a:spLocks noChangeShapeType="1"/>
          </xdr:cNvSpPr>
        </xdr:nvSpPr>
        <xdr:spPr bwMode="auto">
          <a:xfrm>
            <a:off x="321" y="369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2" name="Line 548"/>
          <xdr:cNvSpPr>
            <a:spLocks noChangeShapeType="1"/>
          </xdr:cNvSpPr>
        </xdr:nvSpPr>
        <xdr:spPr bwMode="auto">
          <a:xfrm>
            <a:off x="323" y="372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3" name="Line 549"/>
          <xdr:cNvSpPr>
            <a:spLocks noChangeShapeType="1"/>
          </xdr:cNvSpPr>
        </xdr:nvSpPr>
        <xdr:spPr bwMode="auto">
          <a:xfrm>
            <a:off x="325" y="375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4" name="Freeform 550"/>
          <xdr:cNvSpPr>
            <a:spLocks/>
          </xdr:cNvSpPr>
        </xdr:nvSpPr>
        <xdr:spPr bwMode="auto">
          <a:xfrm>
            <a:off x="326" y="378"/>
            <a:ext cx="1" cy="2"/>
          </a:xfrm>
          <a:custGeom>
            <a:avLst/>
            <a:gdLst>
              <a:gd name="T0" fmla="*/ 0 w 53"/>
              <a:gd name="T1" fmla="*/ 0 h 96"/>
              <a:gd name="T2" fmla="*/ 21 w 53"/>
              <a:gd name="T3" fmla="*/ 36 h 96"/>
              <a:gd name="T4" fmla="*/ 53 w 53"/>
              <a:gd name="T5" fmla="*/ 96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53" h="96">
                <a:moveTo>
                  <a:pt x="0" y="0"/>
                </a:moveTo>
                <a:lnTo>
                  <a:pt x="21" y="36"/>
                </a:lnTo>
                <a:lnTo>
                  <a:pt x="53" y="96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15" name="Line 551"/>
          <xdr:cNvSpPr>
            <a:spLocks noChangeShapeType="1"/>
          </xdr:cNvSpPr>
        </xdr:nvSpPr>
        <xdr:spPr bwMode="auto">
          <a:xfrm>
            <a:off x="328" y="381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6" name="Line 552"/>
          <xdr:cNvSpPr>
            <a:spLocks noChangeShapeType="1"/>
          </xdr:cNvSpPr>
        </xdr:nvSpPr>
        <xdr:spPr bwMode="auto">
          <a:xfrm>
            <a:off x="329" y="384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7" name="Freeform 553"/>
          <xdr:cNvSpPr>
            <a:spLocks/>
          </xdr:cNvSpPr>
        </xdr:nvSpPr>
        <xdr:spPr bwMode="auto">
          <a:xfrm>
            <a:off x="331" y="387"/>
            <a:ext cx="1" cy="1"/>
          </a:xfrm>
          <a:custGeom>
            <a:avLst/>
            <a:gdLst>
              <a:gd name="T0" fmla="*/ 0 w 47"/>
              <a:gd name="T1" fmla="*/ 0 h 97"/>
              <a:gd name="T2" fmla="*/ 15 w 47"/>
              <a:gd name="T3" fmla="*/ 29 h 97"/>
              <a:gd name="T4" fmla="*/ 47 w 47"/>
              <a:gd name="T5" fmla="*/ 97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7" h="97">
                <a:moveTo>
                  <a:pt x="0" y="0"/>
                </a:moveTo>
                <a:lnTo>
                  <a:pt x="15" y="29"/>
                </a:lnTo>
                <a:lnTo>
                  <a:pt x="47" y="97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18" name="Line 554"/>
          <xdr:cNvSpPr>
            <a:spLocks noChangeShapeType="1"/>
          </xdr:cNvSpPr>
        </xdr:nvSpPr>
        <xdr:spPr bwMode="auto">
          <a:xfrm>
            <a:off x="332" y="389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19" name="Line 555"/>
          <xdr:cNvSpPr>
            <a:spLocks noChangeShapeType="1"/>
          </xdr:cNvSpPr>
        </xdr:nvSpPr>
        <xdr:spPr bwMode="auto">
          <a:xfrm>
            <a:off x="334" y="392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0" name="Freeform 556"/>
          <xdr:cNvSpPr>
            <a:spLocks/>
          </xdr:cNvSpPr>
        </xdr:nvSpPr>
        <xdr:spPr bwMode="auto">
          <a:xfrm>
            <a:off x="335" y="395"/>
            <a:ext cx="1" cy="2"/>
          </a:xfrm>
          <a:custGeom>
            <a:avLst/>
            <a:gdLst>
              <a:gd name="T0" fmla="*/ 0 w 45"/>
              <a:gd name="T1" fmla="*/ 0 h 98"/>
              <a:gd name="T2" fmla="*/ 34 w 45"/>
              <a:gd name="T3" fmla="*/ 73 h 98"/>
              <a:gd name="T4" fmla="*/ 45 w 45"/>
              <a:gd name="T5" fmla="*/ 98 h 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5" h="98">
                <a:moveTo>
                  <a:pt x="0" y="0"/>
                </a:moveTo>
                <a:lnTo>
                  <a:pt x="34" y="73"/>
                </a:lnTo>
                <a:lnTo>
                  <a:pt x="45" y="98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21" name="Line 557"/>
          <xdr:cNvSpPr>
            <a:spLocks noChangeShapeType="1"/>
          </xdr:cNvSpPr>
        </xdr:nvSpPr>
        <xdr:spPr bwMode="auto">
          <a:xfrm>
            <a:off x="336" y="398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2" name="Line 558"/>
          <xdr:cNvSpPr>
            <a:spLocks noChangeShapeType="1"/>
          </xdr:cNvSpPr>
        </xdr:nvSpPr>
        <xdr:spPr bwMode="auto">
          <a:xfrm>
            <a:off x="338" y="401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3" name="Line 559"/>
          <xdr:cNvSpPr>
            <a:spLocks noChangeShapeType="1"/>
          </xdr:cNvSpPr>
        </xdr:nvSpPr>
        <xdr:spPr bwMode="auto">
          <a:xfrm>
            <a:off x="339" y="404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4" name="Freeform 560"/>
          <xdr:cNvSpPr>
            <a:spLocks/>
          </xdr:cNvSpPr>
        </xdr:nvSpPr>
        <xdr:spPr bwMode="auto">
          <a:xfrm>
            <a:off x="340" y="407"/>
            <a:ext cx="1" cy="2"/>
          </a:xfrm>
          <a:custGeom>
            <a:avLst/>
            <a:gdLst>
              <a:gd name="T0" fmla="*/ 0 w 42"/>
              <a:gd name="T1" fmla="*/ 0 h 104"/>
              <a:gd name="T2" fmla="*/ 1 w 42"/>
              <a:gd name="T3" fmla="*/ 2 h 104"/>
              <a:gd name="T4" fmla="*/ 42 w 42"/>
              <a:gd name="T5" fmla="*/ 104 h 1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2" h="104">
                <a:moveTo>
                  <a:pt x="0" y="0"/>
                </a:moveTo>
                <a:lnTo>
                  <a:pt x="1" y="2"/>
                </a:lnTo>
                <a:lnTo>
                  <a:pt x="42" y="104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25" name="Line 561"/>
          <xdr:cNvSpPr>
            <a:spLocks noChangeShapeType="1"/>
          </xdr:cNvSpPr>
        </xdr:nvSpPr>
        <xdr:spPr bwMode="auto">
          <a:xfrm>
            <a:off x="341" y="410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6" name="Line 562"/>
          <xdr:cNvSpPr>
            <a:spLocks noChangeShapeType="1"/>
          </xdr:cNvSpPr>
        </xdr:nvSpPr>
        <xdr:spPr bwMode="auto">
          <a:xfrm>
            <a:off x="343" y="413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7" name="Freeform 563"/>
          <xdr:cNvSpPr>
            <a:spLocks/>
          </xdr:cNvSpPr>
        </xdr:nvSpPr>
        <xdr:spPr bwMode="auto">
          <a:xfrm>
            <a:off x="344" y="416"/>
            <a:ext cx="1" cy="2"/>
          </a:xfrm>
          <a:custGeom>
            <a:avLst/>
            <a:gdLst>
              <a:gd name="T0" fmla="*/ 0 w 42"/>
              <a:gd name="T1" fmla="*/ 0 h 105"/>
              <a:gd name="T2" fmla="*/ 37 w 42"/>
              <a:gd name="T3" fmla="*/ 94 h 105"/>
              <a:gd name="T4" fmla="*/ 42 w 42"/>
              <a:gd name="T5" fmla="*/ 105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2" h="105">
                <a:moveTo>
                  <a:pt x="0" y="0"/>
                </a:moveTo>
                <a:lnTo>
                  <a:pt x="37" y="94"/>
                </a:lnTo>
                <a:lnTo>
                  <a:pt x="42" y="105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28" name="Line 564"/>
          <xdr:cNvSpPr>
            <a:spLocks noChangeShapeType="1"/>
          </xdr:cNvSpPr>
        </xdr:nvSpPr>
        <xdr:spPr bwMode="auto">
          <a:xfrm>
            <a:off x="345" y="419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29" name="Line 565"/>
          <xdr:cNvSpPr>
            <a:spLocks noChangeShapeType="1"/>
          </xdr:cNvSpPr>
        </xdr:nvSpPr>
        <xdr:spPr bwMode="auto">
          <a:xfrm>
            <a:off x="346" y="422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0" name="Line 566"/>
          <xdr:cNvSpPr>
            <a:spLocks noChangeShapeType="1"/>
          </xdr:cNvSpPr>
        </xdr:nvSpPr>
        <xdr:spPr bwMode="auto">
          <a:xfrm>
            <a:off x="348" y="426"/>
            <a:ext cx="0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1" name="Freeform 567"/>
          <xdr:cNvSpPr>
            <a:spLocks/>
          </xdr:cNvSpPr>
        </xdr:nvSpPr>
        <xdr:spPr bwMode="auto">
          <a:xfrm>
            <a:off x="349" y="429"/>
            <a:ext cx="0" cy="2"/>
          </a:xfrm>
          <a:custGeom>
            <a:avLst/>
            <a:gdLst>
              <a:gd name="T0" fmla="*/ 0 w 40"/>
              <a:gd name="T1" fmla="*/ 0 h 105"/>
              <a:gd name="T2" fmla="*/ 16 w 40"/>
              <a:gd name="T3" fmla="*/ 43 h 105"/>
              <a:gd name="T4" fmla="*/ 40 w 40"/>
              <a:gd name="T5" fmla="*/ 105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0" h="105">
                <a:moveTo>
                  <a:pt x="0" y="0"/>
                </a:moveTo>
                <a:lnTo>
                  <a:pt x="16" y="43"/>
                </a:lnTo>
                <a:lnTo>
                  <a:pt x="40" y="105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32" name="Line 568"/>
          <xdr:cNvSpPr>
            <a:spLocks noChangeShapeType="1"/>
          </xdr:cNvSpPr>
        </xdr:nvSpPr>
        <xdr:spPr bwMode="auto">
          <a:xfrm>
            <a:off x="350" y="432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3" name="Line 569"/>
          <xdr:cNvSpPr>
            <a:spLocks noChangeShapeType="1"/>
          </xdr:cNvSpPr>
        </xdr:nvSpPr>
        <xdr:spPr bwMode="auto">
          <a:xfrm>
            <a:off x="351" y="435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4" name="Line 570"/>
          <xdr:cNvSpPr>
            <a:spLocks noChangeShapeType="1"/>
          </xdr:cNvSpPr>
        </xdr:nvSpPr>
        <xdr:spPr bwMode="auto">
          <a:xfrm>
            <a:off x="352" y="438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5" name="Freeform 571"/>
          <xdr:cNvSpPr>
            <a:spLocks/>
          </xdr:cNvSpPr>
        </xdr:nvSpPr>
        <xdr:spPr bwMode="auto">
          <a:xfrm>
            <a:off x="353" y="441"/>
            <a:ext cx="1" cy="2"/>
          </a:xfrm>
          <a:custGeom>
            <a:avLst/>
            <a:gdLst>
              <a:gd name="T0" fmla="*/ 0 w 39"/>
              <a:gd name="T1" fmla="*/ 0 h 105"/>
              <a:gd name="T2" fmla="*/ 4 w 39"/>
              <a:gd name="T3" fmla="*/ 11 h 105"/>
              <a:gd name="T4" fmla="*/ 39 w 39"/>
              <a:gd name="T5" fmla="*/ 105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39" h="105">
                <a:moveTo>
                  <a:pt x="0" y="0"/>
                </a:moveTo>
                <a:lnTo>
                  <a:pt x="4" y="11"/>
                </a:lnTo>
                <a:lnTo>
                  <a:pt x="39" y="105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36" name="Line 572"/>
          <xdr:cNvSpPr>
            <a:spLocks noChangeShapeType="1"/>
          </xdr:cNvSpPr>
        </xdr:nvSpPr>
        <xdr:spPr bwMode="auto">
          <a:xfrm>
            <a:off x="355" y="444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7" name="Line 573"/>
          <xdr:cNvSpPr>
            <a:spLocks noChangeShapeType="1"/>
          </xdr:cNvSpPr>
        </xdr:nvSpPr>
        <xdr:spPr bwMode="auto">
          <a:xfrm>
            <a:off x="356" y="447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8" name="Line 574"/>
          <xdr:cNvSpPr>
            <a:spLocks noChangeShapeType="1"/>
          </xdr:cNvSpPr>
        </xdr:nvSpPr>
        <xdr:spPr bwMode="auto">
          <a:xfrm>
            <a:off x="357" y="451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39" name="Line 575"/>
          <xdr:cNvSpPr>
            <a:spLocks noChangeShapeType="1"/>
          </xdr:cNvSpPr>
        </xdr:nvSpPr>
        <xdr:spPr bwMode="auto">
          <a:xfrm>
            <a:off x="358" y="454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0" name="Line 576"/>
          <xdr:cNvSpPr>
            <a:spLocks noChangeShapeType="1"/>
          </xdr:cNvSpPr>
        </xdr:nvSpPr>
        <xdr:spPr bwMode="auto">
          <a:xfrm>
            <a:off x="359" y="457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1" name="Line 577"/>
          <xdr:cNvSpPr>
            <a:spLocks noChangeShapeType="1"/>
          </xdr:cNvSpPr>
        </xdr:nvSpPr>
        <xdr:spPr bwMode="auto">
          <a:xfrm>
            <a:off x="360" y="460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2" name="Line 578"/>
          <xdr:cNvSpPr>
            <a:spLocks noChangeShapeType="1"/>
          </xdr:cNvSpPr>
        </xdr:nvSpPr>
        <xdr:spPr bwMode="auto">
          <a:xfrm>
            <a:off x="361" y="463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3" name="Line 579"/>
          <xdr:cNvSpPr>
            <a:spLocks noChangeShapeType="1"/>
          </xdr:cNvSpPr>
        </xdr:nvSpPr>
        <xdr:spPr bwMode="auto">
          <a:xfrm>
            <a:off x="363" y="466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4" name="Line 580"/>
          <xdr:cNvSpPr>
            <a:spLocks noChangeShapeType="1"/>
          </xdr:cNvSpPr>
        </xdr:nvSpPr>
        <xdr:spPr bwMode="auto">
          <a:xfrm>
            <a:off x="364" y="469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5" name="Line 581"/>
          <xdr:cNvSpPr>
            <a:spLocks noChangeShapeType="1"/>
          </xdr:cNvSpPr>
        </xdr:nvSpPr>
        <xdr:spPr bwMode="auto">
          <a:xfrm>
            <a:off x="365" y="472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6" name="Line 582"/>
          <xdr:cNvSpPr>
            <a:spLocks noChangeShapeType="1"/>
          </xdr:cNvSpPr>
        </xdr:nvSpPr>
        <xdr:spPr bwMode="auto">
          <a:xfrm>
            <a:off x="366" y="476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7" name="Line 583"/>
          <xdr:cNvSpPr>
            <a:spLocks noChangeShapeType="1"/>
          </xdr:cNvSpPr>
        </xdr:nvSpPr>
        <xdr:spPr bwMode="auto">
          <a:xfrm>
            <a:off x="367" y="479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8" name="Line 584"/>
          <xdr:cNvSpPr>
            <a:spLocks noChangeShapeType="1"/>
          </xdr:cNvSpPr>
        </xdr:nvSpPr>
        <xdr:spPr bwMode="auto">
          <a:xfrm>
            <a:off x="369" y="482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49" name="Line 585"/>
          <xdr:cNvSpPr>
            <a:spLocks noChangeShapeType="1"/>
          </xdr:cNvSpPr>
        </xdr:nvSpPr>
        <xdr:spPr bwMode="auto">
          <a:xfrm>
            <a:off x="370" y="485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0" name="Freeform 586"/>
          <xdr:cNvSpPr>
            <a:spLocks/>
          </xdr:cNvSpPr>
        </xdr:nvSpPr>
        <xdr:spPr bwMode="auto">
          <a:xfrm>
            <a:off x="371" y="488"/>
            <a:ext cx="1" cy="2"/>
          </a:xfrm>
          <a:custGeom>
            <a:avLst/>
            <a:gdLst>
              <a:gd name="T0" fmla="*/ 0 w 40"/>
              <a:gd name="T1" fmla="*/ 0 h 105"/>
              <a:gd name="T2" fmla="*/ 23 w 40"/>
              <a:gd name="T3" fmla="*/ 62 h 105"/>
              <a:gd name="T4" fmla="*/ 40 w 40"/>
              <a:gd name="T5" fmla="*/ 105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0" h="105">
                <a:moveTo>
                  <a:pt x="0" y="0"/>
                </a:moveTo>
                <a:lnTo>
                  <a:pt x="23" y="62"/>
                </a:lnTo>
                <a:lnTo>
                  <a:pt x="40" y="105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1" name="Line 587"/>
          <xdr:cNvSpPr>
            <a:spLocks noChangeShapeType="1"/>
          </xdr:cNvSpPr>
        </xdr:nvSpPr>
        <xdr:spPr bwMode="auto">
          <a:xfrm>
            <a:off x="372" y="491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2" name="Line 588"/>
          <xdr:cNvSpPr>
            <a:spLocks noChangeShapeType="1"/>
          </xdr:cNvSpPr>
        </xdr:nvSpPr>
        <xdr:spPr bwMode="auto">
          <a:xfrm>
            <a:off x="373" y="494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3" name="Line 589"/>
          <xdr:cNvSpPr>
            <a:spLocks noChangeShapeType="1"/>
          </xdr:cNvSpPr>
        </xdr:nvSpPr>
        <xdr:spPr bwMode="auto">
          <a:xfrm>
            <a:off x="375" y="497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4" name="Line 590"/>
          <xdr:cNvSpPr>
            <a:spLocks noChangeShapeType="1"/>
          </xdr:cNvSpPr>
        </xdr:nvSpPr>
        <xdr:spPr bwMode="auto">
          <a:xfrm>
            <a:off x="376" y="500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5" name="Line 591"/>
          <xdr:cNvSpPr>
            <a:spLocks noChangeShapeType="1"/>
          </xdr:cNvSpPr>
        </xdr:nvSpPr>
        <xdr:spPr bwMode="auto">
          <a:xfrm>
            <a:off x="377" y="503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6" name="Line 592"/>
          <xdr:cNvSpPr>
            <a:spLocks noChangeShapeType="1"/>
          </xdr:cNvSpPr>
        </xdr:nvSpPr>
        <xdr:spPr bwMode="auto">
          <a:xfrm>
            <a:off x="378" y="506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7" name="Line 593"/>
          <xdr:cNvSpPr>
            <a:spLocks noChangeShapeType="1"/>
          </xdr:cNvSpPr>
        </xdr:nvSpPr>
        <xdr:spPr bwMode="auto">
          <a:xfrm>
            <a:off x="379" y="509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8" name="Line 594"/>
          <xdr:cNvSpPr>
            <a:spLocks noChangeShapeType="1"/>
          </xdr:cNvSpPr>
        </xdr:nvSpPr>
        <xdr:spPr bwMode="auto">
          <a:xfrm>
            <a:off x="381" y="512"/>
            <a:ext cx="0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59" name="Line 595"/>
          <xdr:cNvSpPr>
            <a:spLocks noChangeShapeType="1"/>
          </xdr:cNvSpPr>
        </xdr:nvSpPr>
        <xdr:spPr bwMode="auto">
          <a:xfrm>
            <a:off x="382" y="515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0" name="Line 596"/>
          <xdr:cNvSpPr>
            <a:spLocks noChangeShapeType="1"/>
          </xdr:cNvSpPr>
        </xdr:nvSpPr>
        <xdr:spPr bwMode="auto">
          <a:xfrm>
            <a:off x="383" y="518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1" name="Freeform 597"/>
          <xdr:cNvSpPr>
            <a:spLocks/>
          </xdr:cNvSpPr>
        </xdr:nvSpPr>
        <xdr:spPr bwMode="auto">
          <a:xfrm>
            <a:off x="384" y="521"/>
            <a:ext cx="1" cy="2"/>
          </a:xfrm>
          <a:custGeom>
            <a:avLst/>
            <a:gdLst>
              <a:gd name="T0" fmla="*/ 0 w 44"/>
              <a:gd name="T1" fmla="*/ 0 h 98"/>
              <a:gd name="T2" fmla="*/ 14 w 44"/>
              <a:gd name="T3" fmla="*/ 32 h 98"/>
              <a:gd name="T4" fmla="*/ 44 w 44"/>
              <a:gd name="T5" fmla="*/ 98 h 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4" h="98">
                <a:moveTo>
                  <a:pt x="0" y="0"/>
                </a:moveTo>
                <a:lnTo>
                  <a:pt x="14" y="32"/>
                </a:lnTo>
                <a:lnTo>
                  <a:pt x="44" y="98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" name="Line 598"/>
          <xdr:cNvSpPr>
            <a:spLocks noChangeShapeType="1"/>
          </xdr:cNvSpPr>
        </xdr:nvSpPr>
        <xdr:spPr bwMode="auto">
          <a:xfrm>
            <a:off x="386" y="524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3" name="Line 599"/>
          <xdr:cNvSpPr>
            <a:spLocks noChangeShapeType="1"/>
          </xdr:cNvSpPr>
        </xdr:nvSpPr>
        <xdr:spPr bwMode="auto">
          <a:xfrm>
            <a:off x="387" y="527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4" name="Freeform 600"/>
          <xdr:cNvSpPr>
            <a:spLocks/>
          </xdr:cNvSpPr>
        </xdr:nvSpPr>
        <xdr:spPr bwMode="auto">
          <a:xfrm>
            <a:off x="388" y="530"/>
            <a:ext cx="1" cy="1"/>
          </a:xfrm>
          <a:custGeom>
            <a:avLst/>
            <a:gdLst>
              <a:gd name="T0" fmla="*/ 0 w 46"/>
              <a:gd name="T1" fmla="*/ 0 h 97"/>
              <a:gd name="T2" fmla="*/ 38 w 46"/>
              <a:gd name="T3" fmla="*/ 82 h 97"/>
              <a:gd name="T4" fmla="*/ 46 w 46"/>
              <a:gd name="T5" fmla="*/ 97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6" h="97">
                <a:moveTo>
                  <a:pt x="0" y="0"/>
                </a:moveTo>
                <a:lnTo>
                  <a:pt x="38" y="82"/>
                </a:lnTo>
                <a:lnTo>
                  <a:pt x="46" y="97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5" name="Line 601"/>
          <xdr:cNvSpPr>
            <a:spLocks noChangeShapeType="1"/>
          </xdr:cNvSpPr>
        </xdr:nvSpPr>
        <xdr:spPr bwMode="auto">
          <a:xfrm>
            <a:off x="390" y="532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6" name="Line 602"/>
          <xdr:cNvSpPr>
            <a:spLocks noChangeShapeType="1"/>
          </xdr:cNvSpPr>
        </xdr:nvSpPr>
        <xdr:spPr bwMode="auto">
          <a:xfrm>
            <a:off x="391" y="535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7" name="Line 603"/>
          <xdr:cNvSpPr>
            <a:spLocks noChangeShapeType="1"/>
          </xdr:cNvSpPr>
        </xdr:nvSpPr>
        <xdr:spPr bwMode="auto">
          <a:xfrm>
            <a:off x="393" y="538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8" name="Line 604"/>
          <xdr:cNvSpPr>
            <a:spLocks noChangeShapeType="1"/>
          </xdr:cNvSpPr>
        </xdr:nvSpPr>
        <xdr:spPr bwMode="auto">
          <a:xfrm>
            <a:off x="394" y="541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69" name="Line 605"/>
          <xdr:cNvSpPr>
            <a:spLocks noChangeShapeType="1"/>
          </xdr:cNvSpPr>
        </xdr:nvSpPr>
        <xdr:spPr bwMode="auto">
          <a:xfrm>
            <a:off x="396" y="544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0" name="Freeform 606"/>
          <xdr:cNvSpPr>
            <a:spLocks/>
          </xdr:cNvSpPr>
        </xdr:nvSpPr>
        <xdr:spPr bwMode="auto">
          <a:xfrm>
            <a:off x="397" y="547"/>
            <a:ext cx="1" cy="2"/>
          </a:xfrm>
          <a:custGeom>
            <a:avLst/>
            <a:gdLst>
              <a:gd name="T0" fmla="*/ 0 w 52"/>
              <a:gd name="T1" fmla="*/ 0 h 96"/>
              <a:gd name="T2" fmla="*/ 42 w 52"/>
              <a:gd name="T3" fmla="*/ 79 h 96"/>
              <a:gd name="T4" fmla="*/ 52 w 52"/>
              <a:gd name="T5" fmla="*/ 96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52" h="96">
                <a:moveTo>
                  <a:pt x="0" y="0"/>
                </a:moveTo>
                <a:lnTo>
                  <a:pt x="42" y="79"/>
                </a:lnTo>
                <a:lnTo>
                  <a:pt x="52" y="96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1" name="Line 607"/>
          <xdr:cNvSpPr>
            <a:spLocks noChangeShapeType="1"/>
          </xdr:cNvSpPr>
        </xdr:nvSpPr>
        <xdr:spPr bwMode="auto">
          <a:xfrm>
            <a:off x="399" y="550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2" name="Line 608"/>
          <xdr:cNvSpPr>
            <a:spLocks noChangeShapeType="1"/>
          </xdr:cNvSpPr>
        </xdr:nvSpPr>
        <xdr:spPr bwMode="auto">
          <a:xfrm>
            <a:off x="401" y="553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3" name="Freeform 609"/>
          <xdr:cNvSpPr>
            <a:spLocks/>
          </xdr:cNvSpPr>
        </xdr:nvSpPr>
        <xdr:spPr bwMode="auto">
          <a:xfrm>
            <a:off x="402" y="555"/>
            <a:ext cx="1" cy="2"/>
          </a:xfrm>
          <a:custGeom>
            <a:avLst/>
            <a:gdLst>
              <a:gd name="T0" fmla="*/ 0 w 60"/>
              <a:gd name="T1" fmla="*/ 0 h 95"/>
              <a:gd name="T2" fmla="*/ 15 w 60"/>
              <a:gd name="T3" fmla="*/ 26 h 95"/>
              <a:gd name="T4" fmla="*/ 60 w 60"/>
              <a:gd name="T5" fmla="*/ 95 h 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60" h="95">
                <a:moveTo>
                  <a:pt x="0" y="0"/>
                </a:moveTo>
                <a:lnTo>
                  <a:pt x="15" y="26"/>
                </a:lnTo>
                <a:lnTo>
                  <a:pt x="60" y="95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4" name="Line 610"/>
          <xdr:cNvSpPr>
            <a:spLocks noChangeShapeType="1"/>
          </xdr:cNvSpPr>
        </xdr:nvSpPr>
        <xdr:spPr bwMode="auto">
          <a:xfrm>
            <a:off x="404" y="558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5" name="Freeform 611"/>
          <xdr:cNvSpPr>
            <a:spLocks/>
          </xdr:cNvSpPr>
        </xdr:nvSpPr>
        <xdr:spPr bwMode="auto">
          <a:xfrm>
            <a:off x="406" y="561"/>
            <a:ext cx="1" cy="2"/>
          </a:xfrm>
          <a:custGeom>
            <a:avLst/>
            <a:gdLst>
              <a:gd name="T0" fmla="*/ 0 w 61"/>
              <a:gd name="T1" fmla="*/ 0 h 95"/>
              <a:gd name="T2" fmla="*/ 59 w 61"/>
              <a:gd name="T3" fmla="*/ 92 h 95"/>
              <a:gd name="T4" fmla="*/ 61 w 61"/>
              <a:gd name="T5" fmla="*/ 95 h 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61" h="95">
                <a:moveTo>
                  <a:pt x="0" y="0"/>
                </a:moveTo>
                <a:lnTo>
                  <a:pt x="59" y="92"/>
                </a:lnTo>
                <a:lnTo>
                  <a:pt x="61" y="95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" name="Line 612"/>
          <xdr:cNvSpPr>
            <a:spLocks noChangeShapeType="1"/>
          </xdr:cNvSpPr>
        </xdr:nvSpPr>
        <xdr:spPr bwMode="auto">
          <a:xfrm>
            <a:off x="408" y="564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7" name="Line 613"/>
          <xdr:cNvSpPr>
            <a:spLocks noChangeShapeType="1"/>
          </xdr:cNvSpPr>
        </xdr:nvSpPr>
        <xdr:spPr bwMode="auto">
          <a:xfrm>
            <a:off x="410" y="567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8" name="Line 614"/>
          <xdr:cNvSpPr>
            <a:spLocks noChangeShapeType="1"/>
          </xdr:cNvSpPr>
        </xdr:nvSpPr>
        <xdr:spPr bwMode="auto">
          <a:xfrm>
            <a:off x="412" y="569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9" name="Line 615"/>
          <xdr:cNvSpPr>
            <a:spLocks noChangeShapeType="1"/>
          </xdr:cNvSpPr>
        </xdr:nvSpPr>
        <xdr:spPr bwMode="auto">
          <a:xfrm>
            <a:off x="414" y="572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0" name="Freeform 616"/>
          <xdr:cNvSpPr>
            <a:spLocks/>
          </xdr:cNvSpPr>
        </xdr:nvSpPr>
        <xdr:spPr bwMode="auto">
          <a:xfrm>
            <a:off x="416" y="574"/>
            <a:ext cx="1" cy="2"/>
          </a:xfrm>
          <a:custGeom>
            <a:avLst/>
            <a:gdLst>
              <a:gd name="T0" fmla="*/ 0 w 73"/>
              <a:gd name="T1" fmla="*/ 0 h 81"/>
              <a:gd name="T2" fmla="*/ 5 w 73"/>
              <a:gd name="T3" fmla="*/ 6 h 81"/>
              <a:gd name="T4" fmla="*/ 73 w 73"/>
              <a:gd name="T5" fmla="*/ 81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73" h="81">
                <a:moveTo>
                  <a:pt x="0" y="0"/>
                </a:moveTo>
                <a:lnTo>
                  <a:pt x="5" y="6"/>
                </a:lnTo>
                <a:lnTo>
                  <a:pt x="73" y="81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1" name="Line 617"/>
          <xdr:cNvSpPr>
            <a:spLocks noChangeShapeType="1"/>
          </xdr:cNvSpPr>
        </xdr:nvSpPr>
        <xdr:spPr bwMode="auto">
          <a:xfrm>
            <a:off x="418" y="577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2" name="Freeform 618"/>
          <xdr:cNvSpPr>
            <a:spLocks/>
          </xdr:cNvSpPr>
        </xdr:nvSpPr>
        <xdr:spPr bwMode="auto">
          <a:xfrm>
            <a:off x="420" y="579"/>
            <a:ext cx="2" cy="2"/>
          </a:xfrm>
          <a:custGeom>
            <a:avLst/>
            <a:gdLst>
              <a:gd name="T0" fmla="*/ 0 w 77"/>
              <a:gd name="T1" fmla="*/ 0 h 75"/>
              <a:gd name="T2" fmla="*/ 9 w 77"/>
              <a:gd name="T3" fmla="*/ 9 h 75"/>
              <a:gd name="T4" fmla="*/ 77 w 77"/>
              <a:gd name="T5" fmla="*/ 75 h 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77" h="75">
                <a:moveTo>
                  <a:pt x="0" y="0"/>
                </a:moveTo>
                <a:lnTo>
                  <a:pt x="9" y="9"/>
                </a:lnTo>
                <a:lnTo>
                  <a:pt x="77" y="75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3" name="Line 619"/>
          <xdr:cNvSpPr>
            <a:spLocks noChangeShapeType="1"/>
          </xdr:cNvSpPr>
        </xdr:nvSpPr>
        <xdr:spPr bwMode="auto">
          <a:xfrm>
            <a:off x="423" y="581"/>
            <a:ext cx="1" cy="2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4" name="Line 620"/>
          <xdr:cNvSpPr>
            <a:spLocks noChangeShapeType="1"/>
          </xdr:cNvSpPr>
        </xdr:nvSpPr>
        <xdr:spPr bwMode="auto">
          <a:xfrm>
            <a:off x="425" y="584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5" name="Line 621"/>
          <xdr:cNvSpPr>
            <a:spLocks noChangeShapeType="1"/>
          </xdr:cNvSpPr>
        </xdr:nvSpPr>
        <xdr:spPr bwMode="auto">
          <a:xfrm>
            <a:off x="427" y="586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6" name="Line 622"/>
          <xdr:cNvSpPr>
            <a:spLocks noChangeShapeType="1"/>
          </xdr:cNvSpPr>
        </xdr:nvSpPr>
        <xdr:spPr bwMode="auto">
          <a:xfrm>
            <a:off x="430" y="588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7" name="Freeform 623"/>
          <xdr:cNvSpPr>
            <a:spLocks/>
          </xdr:cNvSpPr>
        </xdr:nvSpPr>
        <xdr:spPr bwMode="auto">
          <a:xfrm>
            <a:off x="432" y="590"/>
            <a:ext cx="2" cy="1"/>
          </a:xfrm>
          <a:custGeom>
            <a:avLst/>
            <a:gdLst>
              <a:gd name="T0" fmla="*/ 0 w 87"/>
              <a:gd name="T1" fmla="*/ 0 h 62"/>
              <a:gd name="T2" fmla="*/ 73 w 87"/>
              <a:gd name="T3" fmla="*/ 53 h 62"/>
              <a:gd name="T4" fmla="*/ 87 w 87"/>
              <a:gd name="T5" fmla="*/ 62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87" h="62">
                <a:moveTo>
                  <a:pt x="0" y="0"/>
                </a:moveTo>
                <a:lnTo>
                  <a:pt x="73" y="53"/>
                </a:lnTo>
                <a:lnTo>
                  <a:pt x="87" y="62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8" name="Line 624"/>
          <xdr:cNvSpPr>
            <a:spLocks noChangeShapeType="1"/>
          </xdr:cNvSpPr>
        </xdr:nvSpPr>
        <xdr:spPr bwMode="auto">
          <a:xfrm>
            <a:off x="435" y="591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89" name="Freeform 625"/>
          <xdr:cNvSpPr>
            <a:spLocks/>
          </xdr:cNvSpPr>
        </xdr:nvSpPr>
        <xdr:spPr bwMode="auto">
          <a:xfrm>
            <a:off x="438" y="593"/>
            <a:ext cx="2" cy="1"/>
          </a:xfrm>
          <a:custGeom>
            <a:avLst/>
            <a:gdLst>
              <a:gd name="T0" fmla="*/ 0 w 94"/>
              <a:gd name="T1" fmla="*/ 0 h 53"/>
              <a:gd name="T2" fmla="*/ 22 w 94"/>
              <a:gd name="T3" fmla="*/ 14 h 53"/>
              <a:gd name="T4" fmla="*/ 94 w 94"/>
              <a:gd name="T5" fmla="*/ 53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94" h="53">
                <a:moveTo>
                  <a:pt x="0" y="0"/>
                </a:moveTo>
                <a:lnTo>
                  <a:pt x="22" y="14"/>
                </a:lnTo>
                <a:lnTo>
                  <a:pt x="94" y="53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0" name="Line 626"/>
          <xdr:cNvSpPr>
            <a:spLocks noChangeShapeType="1"/>
          </xdr:cNvSpPr>
        </xdr:nvSpPr>
        <xdr:spPr bwMode="auto">
          <a:xfrm>
            <a:off x="441" y="595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1" name="Line 627"/>
          <xdr:cNvSpPr>
            <a:spLocks noChangeShapeType="1"/>
          </xdr:cNvSpPr>
        </xdr:nvSpPr>
        <xdr:spPr bwMode="auto">
          <a:xfrm>
            <a:off x="444" y="596"/>
            <a:ext cx="1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2" name="Freeform 628"/>
          <xdr:cNvSpPr>
            <a:spLocks/>
          </xdr:cNvSpPr>
        </xdr:nvSpPr>
        <xdr:spPr bwMode="auto">
          <a:xfrm>
            <a:off x="446" y="597"/>
            <a:ext cx="2" cy="1"/>
          </a:xfrm>
          <a:custGeom>
            <a:avLst/>
            <a:gdLst>
              <a:gd name="T0" fmla="*/ 0 w 100"/>
              <a:gd name="T1" fmla="*/ 0 h 41"/>
              <a:gd name="T2" fmla="*/ 38 w 100"/>
              <a:gd name="T3" fmla="*/ 17 h 41"/>
              <a:gd name="T4" fmla="*/ 100 w 100"/>
              <a:gd name="T5" fmla="*/ 41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00" h="41">
                <a:moveTo>
                  <a:pt x="0" y="0"/>
                </a:moveTo>
                <a:lnTo>
                  <a:pt x="38" y="17"/>
                </a:lnTo>
                <a:lnTo>
                  <a:pt x="100" y="41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3" name="Line 629"/>
          <xdr:cNvSpPr>
            <a:spLocks noChangeShapeType="1"/>
          </xdr:cNvSpPr>
        </xdr:nvSpPr>
        <xdr:spPr bwMode="auto">
          <a:xfrm>
            <a:off x="449" y="599"/>
            <a:ext cx="2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4" name="Line 630"/>
          <xdr:cNvSpPr>
            <a:spLocks noChangeShapeType="1"/>
          </xdr:cNvSpPr>
        </xdr:nvSpPr>
        <xdr:spPr bwMode="auto">
          <a:xfrm>
            <a:off x="453" y="600"/>
            <a:ext cx="1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5" name="Freeform 631"/>
          <xdr:cNvSpPr>
            <a:spLocks/>
          </xdr:cNvSpPr>
        </xdr:nvSpPr>
        <xdr:spPr bwMode="auto">
          <a:xfrm>
            <a:off x="456" y="601"/>
            <a:ext cx="1" cy="0"/>
          </a:xfrm>
          <a:custGeom>
            <a:avLst/>
            <a:gdLst>
              <a:gd name="T0" fmla="*/ 0 w 102"/>
              <a:gd name="T1" fmla="*/ 0 h 28"/>
              <a:gd name="T2" fmla="*/ 29 w 102"/>
              <a:gd name="T3" fmla="*/ 9 h 28"/>
              <a:gd name="T4" fmla="*/ 102 w 102"/>
              <a:gd name="T5" fmla="*/ 28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02" h="28">
                <a:moveTo>
                  <a:pt x="0" y="0"/>
                </a:moveTo>
                <a:lnTo>
                  <a:pt x="29" y="9"/>
                </a:lnTo>
                <a:lnTo>
                  <a:pt x="102" y="28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6" name="Line 632"/>
          <xdr:cNvSpPr>
            <a:spLocks noChangeShapeType="1"/>
          </xdr:cNvSpPr>
        </xdr:nvSpPr>
        <xdr:spPr bwMode="auto">
          <a:xfrm>
            <a:off x="459" y="601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7" name="Line 633"/>
          <xdr:cNvSpPr>
            <a:spLocks noChangeShapeType="1"/>
          </xdr:cNvSpPr>
        </xdr:nvSpPr>
        <xdr:spPr bwMode="auto">
          <a:xfrm>
            <a:off x="462" y="602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8" name="Freeform 634"/>
          <xdr:cNvSpPr>
            <a:spLocks/>
          </xdr:cNvSpPr>
        </xdr:nvSpPr>
        <xdr:spPr bwMode="auto">
          <a:xfrm>
            <a:off x="465" y="603"/>
            <a:ext cx="2" cy="0"/>
          </a:xfrm>
          <a:custGeom>
            <a:avLst/>
            <a:gdLst>
              <a:gd name="T0" fmla="*/ 0 w 104"/>
              <a:gd name="T1" fmla="*/ 0 h 19"/>
              <a:gd name="T2" fmla="*/ 10 w 104"/>
              <a:gd name="T3" fmla="*/ 2 h 19"/>
              <a:gd name="T4" fmla="*/ 104 w 104"/>
              <a:gd name="T5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04" h="19">
                <a:moveTo>
                  <a:pt x="0" y="0"/>
                </a:moveTo>
                <a:lnTo>
                  <a:pt x="10" y="2"/>
                </a:lnTo>
                <a:lnTo>
                  <a:pt x="104" y="19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9" name="Freeform 635"/>
          <xdr:cNvSpPr>
            <a:spLocks/>
          </xdr:cNvSpPr>
        </xdr:nvSpPr>
        <xdr:spPr bwMode="auto">
          <a:xfrm>
            <a:off x="468" y="603"/>
            <a:ext cx="2" cy="1"/>
          </a:xfrm>
          <a:custGeom>
            <a:avLst/>
            <a:gdLst>
              <a:gd name="T0" fmla="*/ 0 w 104"/>
              <a:gd name="T1" fmla="*/ 0 h 18"/>
              <a:gd name="T2" fmla="*/ 81 w 104"/>
              <a:gd name="T3" fmla="*/ 14 h 18"/>
              <a:gd name="T4" fmla="*/ 104 w 104"/>
              <a:gd name="T5" fmla="*/ 18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04" h="18">
                <a:moveTo>
                  <a:pt x="0" y="0"/>
                </a:moveTo>
                <a:lnTo>
                  <a:pt x="81" y="14"/>
                </a:lnTo>
                <a:lnTo>
                  <a:pt x="104" y="18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00" name="Line 636"/>
          <xdr:cNvSpPr>
            <a:spLocks noChangeShapeType="1"/>
          </xdr:cNvSpPr>
        </xdr:nvSpPr>
        <xdr:spPr bwMode="auto">
          <a:xfrm>
            <a:off x="471" y="604"/>
            <a:ext cx="2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01" name="Line 637"/>
          <xdr:cNvSpPr>
            <a:spLocks noChangeShapeType="1"/>
          </xdr:cNvSpPr>
        </xdr:nvSpPr>
        <xdr:spPr bwMode="auto">
          <a:xfrm>
            <a:off x="474" y="604"/>
            <a:ext cx="2" cy="1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02" name="Freeform 638"/>
          <xdr:cNvSpPr>
            <a:spLocks/>
          </xdr:cNvSpPr>
        </xdr:nvSpPr>
        <xdr:spPr bwMode="auto">
          <a:xfrm>
            <a:off x="477" y="605"/>
            <a:ext cx="2" cy="0"/>
          </a:xfrm>
          <a:custGeom>
            <a:avLst/>
            <a:gdLst>
              <a:gd name="T0" fmla="*/ 0 w 104"/>
              <a:gd name="T1" fmla="*/ 0 h 11"/>
              <a:gd name="T2" fmla="*/ 54 w 104"/>
              <a:gd name="T3" fmla="*/ 6 h 11"/>
              <a:gd name="T4" fmla="*/ 104 w 104"/>
              <a:gd name="T5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04" h="11">
                <a:moveTo>
                  <a:pt x="0" y="0"/>
                </a:moveTo>
                <a:lnTo>
                  <a:pt x="54" y="6"/>
                </a:lnTo>
                <a:lnTo>
                  <a:pt x="104" y="11"/>
                </a:lnTo>
              </a:path>
            </a:pathLst>
          </a:cu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03" name="Line 639"/>
          <xdr:cNvSpPr>
            <a:spLocks noChangeShapeType="1"/>
          </xdr:cNvSpPr>
        </xdr:nvSpPr>
        <xdr:spPr bwMode="auto">
          <a:xfrm>
            <a:off x="481" y="605"/>
            <a:ext cx="2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04" name="Line 640"/>
          <xdr:cNvSpPr>
            <a:spLocks noChangeShapeType="1"/>
          </xdr:cNvSpPr>
        </xdr:nvSpPr>
        <xdr:spPr bwMode="auto">
          <a:xfrm>
            <a:off x="484" y="605"/>
            <a:ext cx="2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05" name="Line 641"/>
          <xdr:cNvSpPr>
            <a:spLocks noChangeShapeType="1"/>
          </xdr:cNvSpPr>
        </xdr:nvSpPr>
        <xdr:spPr bwMode="auto">
          <a:xfrm>
            <a:off x="487" y="605"/>
            <a:ext cx="0" cy="0"/>
          </a:xfrm>
          <a:prstGeom prst="line">
            <a:avLst/>
          </a:prstGeom>
          <a:noFill/>
          <a:ln w="762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nstitutoreacao.org.br/" TargetMode="External"/><Relationship Id="rId21" Type="http://schemas.openxmlformats.org/officeDocument/2006/relationships/hyperlink" Target="http://www.ides-sc.org.br/" TargetMode="External"/><Relationship Id="rId42" Type="http://schemas.openxmlformats.org/officeDocument/2006/relationships/hyperlink" Target="http://www.ipe.org.br/" TargetMode="External"/><Relationship Id="rId47" Type="http://schemas.openxmlformats.org/officeDocument/2006/relationships/hyperlink" Target="http://www.icomfloripa.org.br/" TargetMode="External"/><Relationship Id="rId63" Type="http://schemas.openxmlformats.org/officeDocument/2006/relationships/hyperlink" Target="http://www.fas-amazonas.org/" TargetMode="External"/><Relationship Id="rId68" Type="http://schemas.openxmlformats.org/officeDocument/2006/relationships/hyperlink" Target="http://www.cpti.org.br/" TargetMode="External"/><Relationship Id="rId84" Type="http://schemas.openxmlformats.org/officeDocument/2006/relationships/hyperlink" Target="http://www.ahpas.org.br/" TargetMode="External"/><Relationship Id="rId89" Type="http://schemas.openxmlformats.org/officeDocument/2006/relationships/hyperlink" Target="http://www.brazilfoundation.org/" TargetMode="External"/><Relationship Id="rId16" Type="http://schemas.openxmlformats.org/officeDocument/2006/relationships/hyperlink" Target="http://www.pequenocotolengo.org.br/" TargetMode="External"/><Relationship Id="rId11" Type="http://schemas.openxmlformats.org/officeDocument/2006/relationships/hyperlink" Target="http://www.remansofraterno.org.br/" TargetMode="External"/><Relationship Id="rId32" Type="http://schemas.openxmlformats.org/officeDocument/2006/relationships/hyperlink" Target="http://www.institutoolgakos.org.br/" TargetMode="External"/><Relationship Id="rId37" Type="http://schemas.openxmlformats.org/officeDocument/2006/relationships/hyperlink" Target="http://www.fazendohistoria.org.br/" TargetMode="External"/><Relationship Id="rId53" Type="http://schemas.openxmlformats.org/officeDocument/2006/relationships/hyperlink" Target="https://www.instituicaodrklaide.org.br/" TargetMode="External"/><Relationship Id="rId58" Type="http://schemas.openxmlformats.org/officeDocument/2006/relationships/hyperlink" Target="http://www.wwf.org.br/" TargetMode="External"/><Relationship Id="rId74" Type="http://schemas.openxmlformats.org/officeDocument/2006/relationships/hyperlink" Target="http://www.casadurvalpaiva.org.br/" TargetMode="External"/><Relationship Id="rId79" Type="http://schemas.openxmlformats.org/officeDocument/2006/relationships/hyperlink" Target="http://www.asa-santoagostinho.org.br/" TargetMode="External"/><Relationship Id="rId5" Type="http://schemas.openxmlformats.org/officeDocument/2006/relationships/hyperlink" Target="http://turmadobem.org.br/" TargetMode="External"/><Relationship Id="rId90" Type="http://schemas.openxmlformats.org/officeDocument/2006/relationships/hyperlink" Target="http://www.abrale.org.br/" TargetMode="External"/><Relationship Id="rId95" Type="http://schemas.openxmlformats.org/officeDocument/2006/relationships/hyperlink" Target="http://www.aldeiasinfantis.org.br/" TargetMode="External"/><Relationship Id="rId22" Type="http://schemas.openxmlformats.org/officeDocument/2006/relationships/hyperlink" Target="http://www.tdhbrasil.org/" TargetMode="External"/><Relationship Id="rId27" Type="http://schemas.openxmlformats.org/officeDocument/2006/relationships/hyperlink" Target="http://www.promundo.org.br/" TargetMode="External"/><Relationship Id="rId43" Type="http://schemas.openxmlformats.org/officeDocument/2006/relationships/hyperlink" Target="http://www.spvs.org.br/" TargetMode="External"/><Relationship Id="rId48" Type="http://schemas.openxmlformats.org/officeDocument/2006/relationships/hyperlink" Target="http://www.institutoc.org.br/" TargetMode="External"/><Relationship Id="rId64" Type="http://schemas.openxmlformats.org/officeDocument/2006/relationships/hyperlink" Target="http://www.fadc.org.br/" TargetMode="External"/><Relationship Id="rId69" Type="http://schemas.openxmlformats.org/officeDocument/2006/relationships/hyperlink" Target="http://www.cerene.org.br/" TargetMode="External"/><Relationship Id="rId80" Type="http://schemas.openxmlformats.org/officeDocument/2006/relationships/hyperlink" Target="http://www.tucca.org.br/" TargetMode="External"/><Relationship Id="rId85" Type="http://schemas.openxmlformats.org/officeDocument/2006/relationships/hyperlink" Target="http://www.habitatbrasil.org.br/" TargetMode="External"/><Relationship Id="rId12" Type="http://schemas.openxmlformats.org/officeDocument/2006/relationships/hyperlink" Target="http://www.redefemininasbo.org.br/" TargetMode="External"/><Relationship Id="rId17" Type="http://schemas.openxmlformats.org/officeDocument/2006/relationships/hyperlink" Target="http://www.pequenacasa.org.br/" TargetMode="External"/><Relationship Id="rId25" Type="http://schemas.openxmlformats.org/officeDocument/2006/relationships/hyperlink" Target="http://www.reciclar.org.br/" TargetMode="External"/><Relationship Id="rId33" Type="http://schemas.openxmlformats.org/officeDocument/2006/relationships/hyperlink" Target="http://www.minaspelapaz.org.br/" TargetMode="External"/><Relationship Id="rId38" Type="http://schemas.openxmlformats.org/officeDocument/2006/relationships/hyperlink" Target="http://www.institutoelos.org/" TargetMode="External"/><Relationship Id="rId46" Type="http://schemas.openxmlformats.org/officeDocument/2006/relationships/hyperlink" Target="http://www.iprede.org.br/" TargetMode="External"/><Relationship Id="rId59" Type="http://schemas.openxmlformats.org/officeDocument/2006/relationships/hyperlink" Target="http://www.furc.org.br/" TargetMode="External"/><Relationship Id="rId67" Type="http://schemas.openxmlformats.org/officeDocument/2006/relationships/hyperlink" Target="http://www.childfundbrasil.org.br/" TargetMode="External"/><Relationship Id="rId20" Type="http://schemas.openxmlformats.org/officeDocument/2006/relationships/hyperlink" Target="http://www.museudefavela.org/" TargetMode="External"/><Relationship Id="rId41" Type="http://schemas.openxmlformats.org/officeDocument/2006/relationships/hyperlink" Target="http://www.ipti.org.br/" TargetMode="External"/><Relationship Id="rId54" Type="http://schemas.openxmlformats.org/officeDocument/2006/relationships/hyperlink" Target="http://www.salesianos.br/" TargetMode="External"/><Relationship Id="rId62" Type="http://schemas.openxmlformats.org/officeDocument/2006/relationships/hyperlink" Target="http://www.fundacaodorina.org.br/" TargetMode="External"/><Relationship Id="rId70" Type="http://schemas.openxmlformats.org/officeDocument/2006/relationships/hyperlink" Target="http://www.clp.org.br/" TargetMode="External"/><Relationship Id="rId75" Type="http://schemas.openxmlformats.org/officeDocument/2006/relationships/hyperlink" Target="http://www.bancodaprovidencia.org.br/" TargetMode="External"/><Relationship Id="rId83" Type="http://schemas.openxmlformats.org/officeDocument/2006/relationships/hyperlink" Target="https://asiloirmaojoaquim.org.br/" TargetMode="External"/><Relationship Id="rId88" Type="http://schemas.openxmlformats.org/officeDocument/2006/relationships/hyperlink" Target="http://www.aacc.org.br/" TargetMode="External"/><Relationship Id="rId91" Type="http://schemas.openxmlformats.org/officeDocument/2006/relationships/hyperlink" Target="http://www.aliancaempreendedora.org.br/" TargetMode="External"/><Relationship Id="rId96" Type="http://schemas.openxmlformats.org/officeDocument/2006/relationships/hyperlink" Target="http://www.actionaid.org.br/" TargetMode="External"/><Relationship Id="rId1" Type="http://schemas.openxmlformats.org/officeDocument/2006/relationships/hyperlink" Target="https://www.ramacrisna.org.br/" TargetMode="External"/><Relationship Id="rId6" Type="http://schemas.openxmlformats.org/officeDocument/2006/relationships/hyperlink" Target="http://www.sosma.org.br/" TargetMode="External"/><Relationship Id="rId15" Type="http://schemas.openxmlformats.org/officeDocument/2006/relationships/hyperlink" Target="http://www.plan.org.br/" TargetMode="External"/><Relationship Id="rId23" Type="http://schemas.openxmlformats.org/officeDocument/2006/relationships/hyperlink" Target="http://www.socioambiental.org/" TargetMode="External"/><Relationship Id="rId28" Type="http://schemas.openxmlformats.org/officeDocument/2006/relationships/hyperlink" Target="http://www.ipcc.org.br/" TargetMode="External"/><Relationship Id="rId36" Type="http://schemas.openxmlformats.org/officeDocument/2006/relationships/hyperlink" Target="http://www.igk.org.br/" TargetMode="External"/><Relationship Id="rId49" Type="http://schemas.openxmlformats.org/officeDocument/2006/relationships/hyperlink" Target="http://www.institutoayrtonsenna.org.br/" TargetMode="External"/><Relationship Id="rId57" Type="http://schemas.openxmlformats.org/officeDocument/2006/relationships/hyperlink" Target="http://www.graacc.org.br/" TargetMode="External"/><Relationship Id="rId10" Type="http://schemas.openxmlformats.org/officeDocument/2006/relationships/hyperlink" Target="http://www.santacasabh.org.br/" TargetMode="External"/><Relationship Id="rId31" Type="http://schemas.openxmlformats.org/officeDocument/2006/relationships/hyperlink" Target="http://www.redeivg.org.br/" TargetMode="External"/><Relationship Id="rId44" Type="http://schemas.openxmlformats.org/officeDocument/2006/relationships/hyperlink" Target="http://www.imaflora.org/" TargetMode="External"/><Relationship Id="rId52" Type="http://schemas.openxmlformats.org/officeDocument/2006/relationships/hyperlink" Target="http://www.lardemaria.org.br/" TargetMode="External"/><Relationship Id="rId60" Type="http://schemas.openxmlformats.org/officeDocument/2006/relationships/hyperlink" Target="http://www.goldeletra.org.br/" TargetMode="External"/><Relationship Id="rId65" Type="http://schemas.openxmlformats.org/officeDocument/2006/relationships/hyperlink" Target="http://www.espacofeliz.org.br/" TargetMode="External"/><Relationship Id="rId73" Type="http://schemas.openxmlformats.org/officeDocument/2006/relationships/hyperlink" Target="http://www.casadozezinho.org.br/" TargetMode="External"/><Relationship Id="rId78" Type="http://schemas.openxmlformats.org/officeDocument/2006/relationships/hyperlink" Target="http://www.sosamazonia.org.br/" TargetMode="External"/><Relationship Id="rId81" Type="http://schemas.openxmlformats.org/officeDocument/2006/relationships/hyperlink" Target="http://www.amr.org.br/" TargetMode="External"/><Relationship Id="rId86" Type="http://schemas.openxmlformats.org/officeDocument/2006/relationships/hyperlink" Target="http://www.estacaoluz.org.br/" TargetMode="External"/><Relationship Id="rId94" Type="http://schemas.openxmlformats.org/officeDocument/2006/relationships/hyperlink" Target="http://www.crechealvorada.org/" TargetMode="External"/><Relationship Id="rId99" Type="http://schemas.openxmlformats.org/officeDocument/2006/relationships/hyperlink" Target="http://www.abrace.com.br/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://www.techo.org/paises/brasil/" TargetMode="External"/><Relationship Id="rId9" Type="http://schemas.openxmlformats.org/officeDocument/2006/relationships/hyperlink" Target="http://www.saudecrianca.org.br/" TargetMode="External"/><Relationship Id="rId13" Type="http://schemas.openxmlformats.org/officeDocument/2006/relationships/hyperlink" Target="http://www.redecidada.org.br/" TargetMode="External"/><Relationship Id="rId18" Type="http://schemas.openxmlformats.org/officeDocument/2006/relationships/hyperlink" Target="http://www.operacaosorriso.org.br/" TargetMode="External"/><Relationship Id="rId39" Type="http://schemas.openxmlformats.org/officeDocument/2006/relationships/hyperlink" Target="http://www.ekloos.org/" TargetMode="External"/><Relationship Id="rId34" Type="http://schemas.openxmlformats.org/officeDocument/2006/relationships/hyperlink" Target="http://www.ilm.org.br/" TargetMode="External"/><Relationship Id="rId50" Type="http://schemas.openxmlformats.org/officeDocument/2006/relationships/hyperlink" Target="http://www.akatu.org.br/" TargetMode="External"/><Relationship Id="rId55" Type="http://schemas.openxmlformats.org/officeDocument/2006/relationships/hyperlink" Target="http://www.hospitalsaofrancisco.org.br/" TargetMode="External"/><Relationship Id="rId76" Type="http://schemas.openxmlformats.org/officeDocument/2006/relationships/hyperlink" Target="http://www.bairrodajuventude.org.br/" TargetMode="External"/><Relationship Id="rId97" Type="http://schemas.openxmlformats.org/officeDocument/2006/relationships/hyperlink" Target="http://www.asidbrasil.org.br/" TargetMode="External"/><Relationship Id="rId7" Type="http://schemas.openxmlformats.org/officeDocument/2006/relationships/hyperlink" Target="http://www.wimbelemdon.com.br/" TargetMode="External"/><Relationship Id="rId71" Type="http://schemas.openxmlformats.org/officeDocument/2006/relationships/hyperlink" Target="http://www.cenpec.org.br/" TargetMode="External"/><Relationship Id="rId92" Type="http://schemas.openxmlformats.org/officeDocument/2006/relationships/hyperlink" Target="http://www.apaeaps.org.br/" TargetMode="External"/><Relationship Id="rId2" Type="http://schemas.openxmlformats.org/officeDocument/2006/relationships/hyperlink" Target="http://www.visaomundial.org/" TargetMode="External"/><Relationship Id="rId29" Type="http://schemas.openxmlformats.org/officeDocument/2006/relationships/hyperlink" Target="http://www.institutophi.org.br/" TargetMode="External"/><Relationship Id="rId24" Type="http://schemas.openxmlformats.org/officeDocument/2006/relationships/hyperlink" Target="http://www.institutoronald.org.br/" TargetMode="External"/><Relationship Id="rId40" Type="http://schemas.openxmlformats.org/officeDocument/2006/relationships/hyperlink" Target="http://www.ici-rs.org.br/" TargetMode="External"/><Relationship Id="rId45" Type="http://schemas.openxmlformats.org/officeDocument/2006/relationships/hyperlink" Target="http://www.idesam.org.br/" TargetMode="External"/><Relationship Id="rId66" Type="http://schemas.openxmlformats.org/officeDocument/2006/relationships/hyperlink" Target="http://www.doutoresdaalegria.org.br/" TargetMode="External"/><Relationship Id="rId87" Type="http://schemas.openxmlformats.org/officeDocument/2006/relationships/hyperlink" Target="http://www.sistemadivinaprovidencia.org/" TargetMode="External"/><Relationship Id="rId61" Type="http://schemas.openxmlformats.org/officeDocument/2006/relationships/hyperlink" Target="http://www.estudar.org.br/" TargetMode="External"/><Relationship Id="rId82" Type="http://schemas.openxmlformats.org/officeDocument/2006/relationships/hyperlink" Target="http://www.lutapelapaz.org/" TargetMode="External"/><Relationship Id="rId19" Type="http://schemas.openxmlformats.org/officeDocument/2006/relationships/hyperlink" Target="http://www.parceirosvoluntarios.org.br/" TargetMode="External"/><Relationship Id="rId14" Type="http://schemas.openxmlformats.org/officeDocument/2006/relationships/hyperlink" Target="https://cidadeancora.org.br/" TargetMode="External"/><Relationship Id="rId30" Type="http://schemas.openxmlformats.org/officeDocument/2006/relationships/hyperlink" Target="http://www.idis.org.br/" TargetMode="External"/><Relationship Id="rId35" Type="http://schemas.openxmlformats.org/officeDocument/2006/relationships/hyperlink" Target="http://www.institutojatobas.org.br/" TargetMode="External"/><Relationship Id="rId56" Type="http://schemas.openxmlformats.org/officeDocument/2006/relationships/hyperlink" Target="http://www.grupovidabrasil.org.br/" TargetMode="External"/><Relationship Id="rId77" Type="http://schemas.openxmlformats.org/officeDocument/2006/relationships/hyperlink" Target="http://www.vagalume.org.br/" TargetMode="External"/><Relationship Id="rId100" Type="http://schemas.openxmlformats.org/officeDocument/2006/relationships/hyperlink" Target="http://www.abcdnossacasa.org.br/" TargetMode="External"/><Relationship Id="rId8" Type="http://schemas.openxmlformats.org/officeDocument/2006/relationships/hyperlink" Target="http://www.sitawi.net/" TargetMode="External"/><Relationship Id="rId51" Type="http://schemas.openxmlformats.org/officeDocument/2006/relationships/hyperlink" Target="http://www.padreharoldo.org.br/" TargetMode="External"/><Relationship Id="rId72" Type="http://schemas.openxmlformats.org/officeDocument/2006/relationships/hyperlink" Target="http://www.cadi.org.br/" TargetMode="External"/><Relationship Id="rId93" Type="http://schemas.openxmlformats.org/officeDocument/2006/relationships/hyperlink" Target="http://www.amigosdobem.org/" TargetMode="External"/><Relationship Id="rId98" Type="http://schemas.openxmlformats.org/officeDocument/2006/relationships/hyperlink" Target="http://www.vocacao.org.br/" TargetMode="External"/><Relationship Id="rId3" Type="http://schemas.openxmlformats.org/officeDocument/2006/relationships/hyperlink" Target="http://www.unas.org.br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gk.org.br/" TargetMode="External"/><Relationship Id="rId21" Type="http://schemas.openxmlformats.org/officeDocument/2006/relationships/hyperlink" Target="http://www.institutophi.org.br/" TargetMode="External"/><Relationship Id="rId42" Type="http://schemas.openxmlformats.org/officeDocument/2006/relationships/hyperlink" Target="http://www.hospitalsaofrancisco.org.br/" TargetMode="External"/><Relationship Id="rId47" Type="http://schemas.openxmlformats.org/officeDocument/2006/relationships/hyperlink" Target="http://www.goldeletra.org.br/" TargetMode="External"/><Relationship Id="rId63" Type="http://schemas.openxmlformats.org/officeDocument/2006/relationships/hyperlink" Target="http://www.asa-santoagostinho.org.br/" TargetMode="External"/><Relationship Id="rId68" Type="http://schemas.openxmlformats.org/officeDocument/2006/relationships/hyperlink" Target="http://www.habitatbrasil.org.br/" TargetMode="External"/><Relationship Id="rId16" Type="http://schemas.openxmlformats.org/officeDocument/2006/relationships/hyperlink" Target="http://www.ides-sc.org.br/" TargetMode="External"/><Relationship Id="rId11" Type="http://schemas.openxmlformats.org/officeDocument/2006/relationships/hyperlink" Target="https://cidadeancora.org.br/" TargetMode="External"/><Relationship Id="rId24" Type="http://schemas.openxmlformats.org/officeDocument/2006/relationships/hyperlink" Target="http://www.minaspelapaz.org.br/" TargetMode="External"/><Relationship Id="rId32" Type="http://schemas.openxmlformats.org/officeDocument/2006/relationships/hyperlink" Target="http://www.spvs.org.br/" TargetMode="External"/><Relationship Id="rId37" Type="http://schemas.openxmlformats.org/officeDocument/2006/relationships/hyperlink" Target="http://www.akatu.org.br/" TargetMode="External"/><Relationship Id="rId40" Type="http://schemas.openxmlformats.org/officeDocument/2006/relationships/hyperlink" Target="https://www.instituicaodrklaide.org.br/" TargetMode="External"/><Relationship Id="rId45" Type="http://schemas.openxmlformats.org/officeDocument/2006/relationships/hyperlink" Target="http://www.wwf.org.br/" TargetMode="External"/><Relationship Id="rId53" Type="http://schemas.openxmlformats.org/officeDocument/2006/relationships/hyperlink" Target="http://www.childfundbrasil.org.br/" TargetMode="External"/><Relationship Id="rId58" Type="http://schemas.openxmlformats.org/officeDocument/2006/relationships/hyperlink" Target="http://www.casadozezinho.org.br/" TargetMode="External"/><Relationship Id="rId66" Type="http://schemas.openxmlformats.org/officeDocument/2006/relationships/hyperlink" Target="http://www.lutapelapaz.org/" TargetMode="External"/><Relationship Id="rId74" Type="http://schemas.openxmlformats.org/officeDocument/2006/relationships/hyperlink" Target="http://www.aldeiasinfantis.org.br/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://www.wimbelemdon.com.br/" TargetMode="External"/><Relationship Id="rId61" Type="http://schemas.openxmlformats.org/officeDocument/2006/relationships/hyperlink" Target="http://www.vagalume.org.br/" TargetMode="External"/><Relationship Id="rId19" Type="http://schemas.openxmlformats.org/officeDocument/2006/relationships/hyperlink" Target="http://www.reciclar.org.br/" TargetMode="External"/><Relationship Id="rId14" Type="http://schemas.openxmlformats.org/officeDocument/2006/relationships/hyperlink" Target="http://www.operacaosorriso.org.br/" TargetMode="External"/><Relationship Id="rId22" Type="http://schemas.openxmlformats.org/officeDocument/2006/relationships/hyperlink" Target="http://www.idis.org.br/" TargetMode="External"/><Relationship Id="rId27" Type="http://schemas.openxmlformats.org/officeDocument/2006/relationships/hyperlink" Target="http://www.fazendohistoria.org.br/" TargetMode="External"/><Relationship Id="rId30" Type="http://schemas.openxmlformats.org/officeDocument/2006/relationships/hyperlink" Target="http://www.ipti.org.br/" TargetMode="External"/><Relationship Id="rId35" Type="http://schemas.openxmlformats.org/officeDocument/2006/relationships/hyperlink" Target="http://www.icomfloripa.org.br/" TargetMode="External"/><Relationship Id="rId43" Type="http://schemas.openxmlformats.org/officeDocument/2006/relationships/hyperlink" Target="http://www.grupovidabrasil.org.br/" TargetMode="External"/><Relationship Id="rId48" Type="http://schemas.openxmlformats.org/officeDocument/2006/relationships/hyperlink" Target="http://www.fundacaodorina.org.br/" TargetMode="External"/><Relationship Id="rId56" Type="http://schemas.openxmlformats.org/officeDocument/2006/relationships/hyperlink" Target="http://www.cenpec.org.br/" TargetMode="External"/><Relationship Id="rId64" Type="http://schemas.openxmlformats.org/officeDocument/2006/relationships/hyperlink" Target="http://www.tucca.org.br/" TargetMode="External"/><Relationship Id="rId69" Type="http://schemas.openxmlformats.org/officeDocument/2006/relationships/hyperlink" Target="http://www.sistemadivinaprovidencia.org/" TargetMode="External"/><Relationship Id="rId77" Type="http://schemas.openxmlformats.org/officeDocument/2006/relationships/hyperlink" Target="http://www.abrace.com.br/" TargetMode="External"/><Relationship Id="rId8" Type="http://schemas.openxmlformats.org/officeDocument/2006/relationships/hyperlink" Target="http://www.santacasabh.org.br/" TargetMode="External"/><Relationship Id="rId51" Type="http://schemas.openxmlformats.org/officeDocument/2006/relationships/hyperlink" Target="http://www.espacofeliz.org.br/" TargetMode="External"/><Relationship Id="rId72" Type="http://schemas.openxmlformats.org/officeDocument/2006/relationships/hyperlink" Target="http://www.apaeaps.org.br/" TargetMode="External"/><Relationship Id="rId3" Type="http://schemas.openxmlformats.org/officeDocument/2006/relationships/hyperlink" Target="http://turmadobem.org.br/" TargetMode="External"/><Relationship Id="rId12" Type="http://schemas.openxmlformats.org/officeDocument/2006/relationships/hyperlink" Target="http://www.plan.org.br/" TargetMode="External"/><Relationship Id="rId17" Type="http://schemas.openxmlformats.org/officeDocument/2006/relationships/hyperlink" Target="http://www.socioambiental.org/" TargetMode="External"/><Relationship Id="rId25" Type="http://schemas.openxmlformats.org/officeDocument/2006/relationships/hyperlink" Target="http://www.institutojatobas.org.br/" TargetMode="External"/><Relationship Id="rId33" Type="http://schemas.openxmlformats.org/officeDocument/2006/relationships/hyperlink" Target="http://www.imaflora.org/" TargetMode="External"/><Relationship Id="rId38" Type="http://schemas.openxmlformats.org/officeDocument/2006/relationships/hyperlink" Target="http://www.padreharoldo.org.br/" TargetMode="External"/><Relationship Id="rId46" Type="http://schemas.openxmlformats.org/officeDocument/2006/relationships/hyperlink" Target="http://www.furc.org.br/" TargetMode="External"/><Relationship Id="rId59" Type="http://schemas.openxmlformats.org/officeDocument/2006/relationships/hyperlink" Target="http://www.casadurvalpaiva.org.br/" TargetMode="External"/><Relationship Id="rId67" Type="http://schemas.openxmlformats.org/officeDocument/2006/relationships/hyperlink" Target="http://www.ahpas.org.br/" TargetMode="External"/><Relationship Id="rId20" Type="http://schemas.openxmlformats.org/officeDocument/2006/relationships/hyperlink" Target="http://www.institutoreacao.org.br/" TargetMode="External"/><Relationship Id="rId41" Type="http://schemas.openxmlformats.org/officeDocument/2006/relationships/hyperlink" Target="http://www.salesianos.br/" TargetMode="External"/><Relationship Id="rId54" Type="http://schemas.openxmlformats.org/officeDocument/2006/relationships/hyperlink" Target="http://www.cerene.org.br/" TargetMode="External"/><Relationship Id="rId62" Type="http://schemas.openxmlformats.org/officeDocument/2006/relationships/hyperlink" Target="http://www.sosamazonia.org.br/" TargetMode="External"/><Relationship Id="rId70" Type="http://schemas.openxmlformats.org/officeDocument/2006/relationships/hyperlink" Target="http://www.brazilfoundation.org/" TargetMode="External"/><Relationship Id="rId75" Type="http://schemas.openxmlformats.org/officeDocument/2006/relationships/hyperlink" Target="http://www.asidbrasil.org.br/" TargetMode="External"/><Relationship Id="rId1" Type="http://schemas.openxmlformats.org/officeDocument/2006/relationships/hyperlink" Target="https://www.ramacrisna.org.br/" TargetMode="External"/><Relationship Id="rId6" Type="http://schemas.openxmlformats.org/officeDocument/2006/relationships/hyperlink" Target="http://www.sitawi.net/" TargetMode="External"/><Relationship Id="rId15" Type="http://schemas.openxmlformats.org/officeDocument/2006/relationships/hyperlink" Target="http://www.parceirosvoluntarios.org.br/" TargetMode="External"/><Relationship Id="rId23" Type="http://schemas.openxmlformats.org/officeDocument/2006/relationships/hyperlink" Target="http://www.redeivg.org.br/" TargetMode="External"/><Relationship Id="rId28" Type="http://schemas.openxmlformats.org/officeDocument/2006/relationships/hyperlink" Target="http://www.institutoelos.org/" TargetMode="External"/><Relationship Id="rId36" Type="http://schemas.openxmlformats.org/officeDocument/2006/relationships/hyperlink" Target="http://www.institutoc.org.br/" TargetMode="External"/><Relationship Id="rId49" Type="http://schemas.openxmlformats.org/officeDocument/2006/relationships/hyperlink" Target="http://www.fas-amazonas.org/" TargetMode="External"/><Relationship Id="rId57" Type="http://schemas.openxmlformats.org/officeDocument/2006/relationships/hyperlink" Target="http://www.cadi.org.br/" TargetMode="External"/><Relationship Id="rId10" Type="http://schemas.openxmlformats.org/officeDocument/2006/relationships/hyperlink" Target="http://www.redecidada.org.br/" TargetMode="External"/><Relationship Id="rId31" Type="http://schemas.openxmlformats.org/officeDocument/2006/relationships/hyperlink" Target="http://www.ipe.org.br/" TargetMode="External"/><Relationship Id="rId44" Type="http://schemas.openxmlformats.org/officeDocument/2006/relationships/hyperlink" Target="http://www.graacc.org.br/" TargetMode="External"/><Relationship Id="rId52" Type="http://schemas.openxmlformats.org/officeDocument/2006/relationships/hyperlink" Target="http://www.doutoresdaalegria.org.br/" TargetMode="External"/><Relationship Id="rId60" Type="http://schemas.openxmlformats.org/officeDocument/2006/relationships/hyperlink" Target="http://www.bairrodajuventude.org.br/" TargetMode="External"/><Relationship Id="rId65" Type="http://schemas.openxmlformats.org/officeDocument/2006/relationships/hyperlink" Target="http://www.amr.org.br/" TargetMode="External"/><Relationship Id="rId73" Type="http://schemas.openxmlformats.org/officeDocument/2006/relationships/hyperlink" Target="http://www.amigosdobem.org/" TargetMode="External"/><Relationship Id="rId78" Type="http://schemas.openxmlformats.org/officeDocument/2006/relationships/hyperlink" Target="http://www.abcdnossacasa.org.br/" TargetMode="External"/><Relationship Id="rId4" Type="http://schemas.openxmlformats.org/officeDocument/2006/relationships/hyperlink" Target="http://www.sosma.org.br/" TargetMode="External"/><Relationship Id="rId9" Type="http://schemas.openxmlformats.org/officeDocument/2006/relationships/hyperlink" Target="http://www.redefemininasbo.org.br/" TargetMode="External"/><Relationship Id="rId13" Type="http://schemas.openxmlformats.org/officeDocument/2006/relationships/hyperlink" Target="http://www.pequenocotolengo.org.br/" TargetMode="External"/><Relationship Id="rId18" Type="http://schemas.openxmlformats.org/officeDocument/2006/relationships/hyperlink" Target="http://www.institutoronald.org.br/" TargetMode="External"/><Relationship Id="rId39" Type="http://schemas.openxmlformats.org/officeDocument/2006/relationships/hyperlink" Target="http://www.lardemaria.org.br/" TargetMode="External"/><Relationship Id="rId34" Type="http://schemas.openxmlformats.org/officeDocument/2006/relationships/hyperlink" Target="http://www.idesam.org.br/" TargetMode="External"/><Relationship Id="rId50" Type="http://schemas.openxmlformats.org/officeDocument/2006/relationships/hyperlink" Target="http://www.fadc.org.br/" TargetMode="External"/><Relationship Id="rId55" Type="http://schemas.openxmlformats.org/officeDocument/2006/relationships/hyperlink" Target="http://www.clp.org.br/" TargetMode="External"/><Relationship Id="rId76" Type="http://schemas.openxmlformats.org/officeDocument/2006/relationships/hyperlink" Target="http://www.vocacao.org.br/" TargetMode="External"/><Relationship Id="rId7" Type="http://schemas.openxmlformats.org/officeDocument/2006/relationships/hyperlink" Target="http://www.saudecrianca.org.br/" TargetMode="External"/><Relationship Id="rId71" Type="http://schemas.openxmlformats.org/officeDocument/2006/relationships/hyperlink" Target="http://www.abrale.org.br/" TargetMode="External"/><Relationship Id="rId2" Type="http://schemas.openxmlformats.org/officeDocument/2006/relationships/hyperlink" Target="http://www.visaomundial.org/" TargetMode="External"/><Relationship Id="rId29" Type="http://schemas.openxmlformats.org/officeDocument/2006/relationships/hyperlink" Target="http://www.ici-rs.org.br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edeivg.org.br/" TargetMode="External"/><Relationship Id="rId18" Type="http://schemas.openxmlformats.org/officeDocument/2006/relationships/hyperlink" Target="http://www.imaflora.org/" TargetMode="External"/><Relationship Id="rId26" Type="http://schemas.openxmlformats.org/officeDocument/2006/relationships/hyperlink" Target="http://www.goldeletra.org.br/" TargetMode="External"/><Relationship Id="rId39" Type="http://schemas.openxmlformats.org/officeDocument/2006/relationships/hyperlink" Target="http://www.amigosdobem.org/" TargetMode="External"/><Relationship Id="rId21" Type="http://schemas.openxmlformats.org/officeDocument/2006/relationships/hyperlink" Target="https://www.instituicaodrklaide.org.br/" TargetMode="External"/><Relationship Id="rId34" Type="http://schemas.openxmlformats.org/officeDocument/2006/relationships/hyperlink" Target="http://www.amr.org.br/" TargetMode="External"/><Relationship Id="rId42" Type="http://schemas.openxmlformats.org/officeDocument/2006/relationships/hyperlink" Target="http://www.abrace.com.br/" TargetMode="External"/><Relationship Id="rId7" Type="http://schemas.openxmlformats.org/officeDocument/2006/relationships/hyperlink" Target="http://www.parceirosvoluntarios.org.br/" TargetMode="External"/><Relationship Id="rId2" Type="http://schemas.openxmlformats.org/officeDocument/2006/relationships/hyperlink" Target="http://www.wimbelemdon.com.br/" TargetMode="External"/><Relationship Id="rId16" Type="http://schemas.openxmlformats.org/officeDocument/2006/relationships/hyperlink" Target="http://www.ipti.org.br/" TargetMode="External"/><Relationship Id="rId20" Type="http://schemas.openxmlformats.org/officeDocument/2006/relationships/hyperlink" Target="http://www.lardemaria.org.br/" TargetMode="External"/><Relationship Id="rId29" Type="http://schemas.openxmlformats.org/officeDocument/2006/relationships/hyperlink" Target="http://www.fadc.org.br/" TargetMode="External"/><Relationship Id="rId41" Type="http://schemas.openxmlformats.org/officeDocument/2006/relationships/hyperlink" Target="http://www.vocacao.org.br/" TargetMode="External"/><Relationship Id="rId1" Type="http://schemas.openxmlformats.org/officeDocument/2006/relationships/hyperlink" Target="http://www.visaomundial.org/" TargetMode="External"/><Relationship Id="rId6" Type="http://schemas.openxmlformats.org/officeDocument/2006/relationships/hyperlink" Target="http://www.operacaosorriso.org.br/" TargetMode="External"/><Relationship Id="rId11" Type="http://schemas.openxmlformats.org/officeDocument/2006/relationships/hyperlink" Target="http://www.institutophi.org.br/" TargetMode="External"/><Relationship Id="rId24" Type="http://schemas.openxmlformats.org/officeDocument/2006/relationships/hyperlink" Target="http://www.graacc.org.br/" TargetMode="External"/><Relationship Id="rId32" Type="http://schemas.openxmlformats.org/officeDocument/2006/relationships/hyperlink" Target="http://www.vagalume.org.br/" TargetMode="External"/><Relationship Id="rId37" Type="http://schemas.openxmlformats.org/officeDocument/2006/relationships/hyperlink" Target="http://www.abrale.org.br/" TargetMode="External"/><Relationship Id="rId40" Type="http://schemas.openxmlformats.org/officeDocument/2006/relationships/hyperlink" Target="http://www.aldeiasinfantis.org.br/" TargetMode="External"/><Relationship Id="rId5" Type="http://schemas.openxmlformats.org/officeDocument/2006/relationships/hyperlink" Target="http://www.redecidada.org.br/" TargetMode="External"/><Relationship Id="rId15" Type="http://schemas.openxmlformats.org/officeDocument/2006/relationships/hyperlink" Target="http://www.ici-rs.org.br/" TargetMode="External"/><Relationship Id="rId23" Type="http://schemas.openxmlformats.org/officeDocument/2006/relationships/hyperlink" Target="http://www.grupovidabrasil.org.br/" TargetMode="External"/><Relationship Id="rId28" Type="http://schemas.openxmlformats.org/officeDocument/2006/relationships/hyperlink" Target="http://www.fas-amazonas.org/" TargetMode="External"/><Relationship Id="rId36" Type="http://schemas.openxmlformats.org/officeDocument/2006/relationships/hyperlink" Target="http://www.habitatbrasil.org.br/" TargetMode="External"/><Relationship Id="rId10" Type="http://schemas.openxmlformats.org/officeDocument/2006/relationships/hyperlink" Target="http://www.reciclar.org.br/" TargetMode="External"/><Relationship Id="rId19" Type="http://schemas.openxmlformats.org/officeDocument/2006/relationships/hyperlink" Target="http://www.institutoc.org.br/" TargetMode="External"/><Relationship Id="rId31" Type="http://schemas.openxmlformats.org/officeDocument/2006/relationships/hyperlink" Target="http://www.casadozezinho.org.br/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http://www.redefemininasbo.org.br/" TargetMode="External"/><Relationship Id="rId9" Type="http://schemas.openxmlformats.org/officeDocument/2006/relationships/hyperlink" Target="http://www.institutoronald.org.br/" TargetMode="External"/><Relationship Id="rId14" Type="http://schemas.openxmlformats.org/officeDocument/2006/relationships/hyperlink" Target="http://www.institutoelos.org/" TargetMode="External"/><Relationship Id="rId22" Type="http://schemas.openxmlformats.org/officeDocument/2006/relationships/hyperlink" Target="http://www.hospitalsaofrancisco.org.br/" TargetMode="External"/><Relationship Id="rId27" Type="http://schemas.openxmlformats.org/officeDocument/2006/relationships/hyperlink" Target="http://www.fundacaodorina.org.br/" TargetMode="External"/><Relationship Id="rId30" Type="http://schemas.openxmlformats.org/officeDocument/2006/relationships/hyperlink" Target="http://www.childfundbrasil.org.br/" TargetMode="External"/><Relationship Id="rId35" Type="http://schemas.openxmlformats.org/officeDocument/2006/relationships/hyperlink" Target="http://www.ahpas.org.br/" TargetMode="External"/><Relationship Id="rId43" Type="http://schemas.openxmlformats.org/officeDocument/2006/relationships/hyperlink" Target="http://www.abcdnossacasa.org.br/" TargetMode="External"/><Relationship Id="rId8" Type="http://schemas.openxmlformats.org/officeDocument/2006/relationships/hyperlink" Target="http://www.ides-sc.org.br/" TargetMode="External"/><Relationship Id="rId3" Type="http://schemas.openxmlformats.org/officeDocument/2006/relationships/hyperlink" Target="http://www.sitawi.net/" TargetMode="External"/><Relationship Id="rId12" Type="http://schemas.openxmlformats.org/officeDocument/2006/relationships/hyperlink" Target="http://www.idis.org.br/" TargetMode="External"/><Relationship Id="rId17" Type="http://schemas.openxmlformats.org/officeDocument/2006/relationships/hyperlink" Target="http://www.ipe.org.br/" TargetMode="External"/><Relationship Id="rId25" Type="http://schemas.openxmlformats.org/officeDocument/2006/relationships/hyperlink" Target="http://www.wwf.org.br/" TargetMode="External"/><Relationship Id="rId33" Type="http://schemas.openxmlformats.org/officeDocument/2006/relationships/hyperlink" Target="http://www.tucca.org.br/" TargetMode="External"/><Relationship Id="rId38" Type="http://schemas.openxmlformats.org/officeDocument/2006/relationships/hyperlink" Target="http://www.apaeaps.org.br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nstitutoelos.org/" TargetMode="External"/><Relationship Id="rId21" Type="http://schemas.openxmlformats.org/officeDocument/2006/relationships/hyperlink" Target="http://www.idis.org.br/" TargetMode="External"/><Relationship Id="rId42" Type="http://schemas.openxmlformats.org/officeDocument/2006/relationships/hyperlink" Target="http://www.graacc.org.br/" TargetMode="External"/><Relationship Id="rId47" Type="http://schemas.openxmlformats.org/officeDocument/2006/relationships/hyperlink" Target="http://www.fas-amazonas.org/" TargetMode="External"/><Relationship Id="rId63" Type="http://schemas.openxmlformats.org/officeDocument/2006/relationships/hyperlink" Target="http://www.habitatbrasil.org.br/" TargetMode="External"/><Relationship Id="rId68" Type="http://schemas.openxmlformats.org/officeDocument/2006/relationships/hyperlink" Target="http://www.aldeiasinfantis.org.br/" TargetMode="External"/><Relationship Id="rId2" Type="http://schemas.openxmlformats.org/officeDocument/2006/relationships/hyperlink" Target="http://www.visaomundial.org/" TargetMode="External"/><Relationship Id="rId16" Type="http://schemas.openxmlformats.org/officeDocument/2006/relationships/hyperlink" Target="http://www.socioambiental.org/" TargetMode="External"/><Relationship Id="rId29" Type="http://schemas.openxmlformats.org/officeDocument/2006/relationships/hyperlink" Target="http://www.ipe.org.br/" TargetMode="External"/><Relationship Id="rId11" Type="http://schemas.openxmlformats.org/officeDocument/2006/relationships/hyperlink" Target="http://www.plan.org.br/" TargetMode="External"/><Relationship Id="rId24" Type="http://schemas.openxmlformats.org/officeDocument/2006/relationships/hyperlink" Target="http://www.igk.org.br/" TargetMode="External"/><Relationship Id="rId32" Type="http://schemas.openxmlformats.org/officeDocument/2006/relationships/hyperlink" Target="http://www.idesam.org.br/" TargetMode="External"/><Relationship Id="rId37" Type="http://schemas.openxmlformats.org/officeDocument/2006/relationships/hyperlink" Target="http://www.lardemaria.org.br/" TargetMode="External"/><Relationship Id="rId40" Type="http://schemas.openxmlformats.org/officeDocument/2006/relationships/hyperlink" Target="http://www.hospitalsaofrancisco.org.br/" TargetMode="External"/><Relationship Id="rId45" Type="http://schemas.openxmlformats.org/officeDocument/2006/relationships/hyperlink" Target="http://www.goldeletra.org.br/" TargetMode="External"/><Relationship Id="rId53" Type="http://schemas.openxmlformats.org/officeDocument/2006/relationships/hyperlink" Target="http://www.casadozezinho.org.br/" TargetMode="External"/><Relationship Id="rId58" Type="http://schemas.openxmlformats.org/officeDocument/2006/relationships/hyperlink" Target="http://www.asa-santoagostinho.org.br/" TargetMode="External"/><Relationship Id="rId66" Type="http://schemas.openxmlformats.org/officeDocument/2006/relationships/hyperlink" Target="http://www.apaeaps.org.br/" TargetMode="External"/><Relationship Id="rId5" Type="http://schemas.openxmlformats.org/officeDocument/2006/relationships/hyperlink" Target="http://www.wimbelemdon.com.br/" TargetMode="External"/><Relationship Id="rId61" Type="http://schemas.openxmlformats.org/officeDocument/2006/relationships/hyperlink" Target="http://www.lutapelapaz.org/" TargetMode="External"/><Relationship Id="rId19" Type="http://schemas.openxmlformats.org/officeDocument/2006/relationships/hyperlink" Target="http://www.institutoreacao.org.br/" TargetMode="External"/><Relationship Id="rId14" Type="http://schemas.openxmlformats.org/officeDocument/2006/relationships/hyperlink" Target="http://www.parceirosvoluntarios.org.br/" TargetMode="External"/><Relationship Id="rId22" Type="http://schemas.openxmlformats.org/officeDocument/2006/relationships/hyperlink" Target="http://www.redeivg.org.br/" TargetMode="External"/><Relationship Id="rId27" Type="http://schemas.openxmlformats.org/officeDocument/2006/relationships/hyperlink" Target="http://www.ici-rs.org.br/" TargetMode="External"/><Relationship Id="rId30" Type="http://schemas.openxmlformats.org/officeDocument/2006/relationships/hyperlink" Target="http://www.spvs.org.br/" TargetMode="External"/><Relationship Id="rId35" Type="http://schemas.openxmlformats.org/officeDocument/2006/relationships/hyperlink" Target="http://www.akatu.org.br/" TargetMode="External"/><Relationship Id="rId43" Type="http://schemas.openxmlformats.org/officeDocument/2006/relationships/hyperlink" Target="http://www.wwf.org.br/" TargetMode="External"/><Relationship Id="rId48" Type="http://schemas.openxmlformats.org/officeDocument/2006/relationships/hyperlink" Target="http://www.fadc.org.br/" TargetMode="External"/><Relationship Id="rId56" Type="http://schemas.openxmlformats.org/officeDocument/2006/relationships/hyperlink" Target="http://www.vagalume.org.br/" TargetMode="External"/><Relationship Id="rId64" Type="http://schemas.openxmlformats.org/officeDocument/2006/relationships/hyperlink" Target="http://www.sistemadivinaprovidencia.org/" TargetMode="External"/><Relationship Id="rId69" Type="http://schemas.openxmlformats.org/officeDocument/2006/relationships/hyperlink" Target="http://www.asidbrasil.org.br/" TargetMode="External"/><Relationship Id="rId8" Type="http://schemas.openxmlformats.org/officeDocument/2006/relationships/hyperlink" Target="http://www.santacasabh.org.br/" TargetMode="External"/><Relationship Id="rId51" Type="http://schemas.openxmlformats.org/officeDocument/2006/relationships/hyperlink" Target="http://www.clp.org.br/" TargetMode="External"/><Relationship Id="rId72" Type="http://schemas.openxmlformats.org/officeDocument/2006/relationships/hyperlink" Target="http://www.abcdnossacasa.org.br/" TargetMode="External"/><Relationship Id="rId3" Type="http://schemas.openxmlformats.org/officeDocument/2006/relationships/hyperlink" Target="http://turmadobem.org.br/" TargetMode="External"/><Relationship Id="rId12" Type="http://schemas.openxmlformats.org/officeDocument/2006/relationships/hyperlink" Target="http://www.pequenocotolengo.org.br/" TargetMode="External"/><Relationship Id="rId17" Type="http://schemas.openxmlformats.org/officeDocument/2006/relationships/hyperlink" Target="http://www.institutoronald.org.br/" TargetMode="External"/><Relationship Id="rId25" Type="http://schemas.openxmlformats.org/officeDocument/2006/relationships/hyperlink" Target="http://www.fazendohistoria.org.br/" TargetMode="External"/><Relationship Id="rId33" Type="http://schemas.openxmlformats.org/officeDocument/2006/relationships/hyperlink" Target="http://www.icomfloripa.org.br/" TargetMode="External"/><Relationship Id="rId38" Type="http://schemas.openxmlformats.org/officeDocument/2006/relationships/hyperlink" Target="https://www.instituicaodrklaide.org.br/" TargetMode="External"/><Relationship Id="rId46" Type="http://schemas.openxmlformats.org/officeDocument/2006/relationships/hyperlink" Target="http://www.fundacaodorina.org.br/" TargetMode="External"/><Relationship Id="rId59" Type="http://schemas.openxmlformats.org/officeDocument/2006/relationships/hyperlink" Target="http://www.tucca.org.br/" TargetMode="External"/><Relationship Id="rId67" Type="http://schemas.openxmlformats.org/officeDocument/2006/relationships/hyperlink" Target="http://www.amigosdobem.org/" TargetMode="External"/><Relationship Id="rId20" Type="http://schemas.openxmlformats.org/officeDocument/2006/relationships/hyperlink" Target="http://www.institutophi.org.br/" TargetMode="External"/><Relationship Id="rId41" Type="http://schemas.openxmlformats.org/officeDocument/2006/relationships/hyperlink" Target="http://www.grupovidabrasil.org.br/" TargetMode="External"/><Relationship Id="rId54" Type="http://schemas.openxmlformats.org/officeDocument/2006/relationships/hyperlink" Target="http://www.casadurvalpaiva.org.br/" TargetMode="External"/><Relationship Id="rId62" Type="http://schemas.openxmlformats.org/officeDocument/2006/relationships/hyperlink" Target="http://www.ahpas.org.br/" TargetMode="External"/><Relationship Id="rId70" Type="http://schemas.openxmlformats.org/officeDocument/2006/relationships/hyperlink" Target="http://www.vocacao.org.br/" TargetMode="External"/><Relationship Id="rId1" Type="http://schemas.openxmlformats.org/officeDocument/2006/relationships/hyperlink" Target="https://www.ramacrisna.org.br/" TargetMode="External"/><Relationship Id="rId6" Type="http://schemas.openxmlformats.org/officeDocument/2006/relationships/hyperlink" Target="http://www.sitawi.net/" TargetMode="External"/><Relationship Id="rId15" Type="http://schemas.openxmlformats.org/officeDocument/2006/relationships/hyperlink" Target="http://www.ides-sc.org.br/" TargetMode="External"/><Relationship Id="rId23" Type="http://schemas.openxmlformats.org/officeDocument/2006/relationships/hyperlink" Target="http://www.minaspelapaz.org.br/" TargetMode="External"/><Relationship Id="rId28" Type="http://schemas.openxmlformats.org/officeDocument/2006/relationships/hyperlink" Target="http://www.ipti.org.br/" TargetMode="External"/><Relationship Id="rId36" Type="http://schemas.openxmlformats.org/officeDocument/2006/relationships/hyperlink" Target="http://www.padreharoldo.org.br/" TargetMode="External"/><Relationship Id="rId49" Type="http://schemas.openxmlformats.org/officeDocument/2006/relationships/hyperlink" Target="http://www.childfundbrasil.org.br/" TargetMode="External"/><Relationship Id="rId57" Type="http://schemas.openxmlformats.org/officeDocument/2006/relationships/hyperlink" Target="http://www.sosamazonia.org.br/" TargetMode="External"/><Relationship Id="rId10" Type="http://schemas.openxmlformats.org/officeDocument/2006/relationships/hyperlink" Target="http://www.redecidada.org.br/" TargetMode="External"/><Relationship Id="rId31" Type="http://schemas.openxmlformats.org/officeDocument/2006/relationships/hyperlink" Target="http://www.imaflora.org/" TargetMode="External"/><Relationship Id="rId44" Type="http://schemas.openxmlformats.org/officeDocument/2006/relationships/hyperlink" Target="http://www.furc.org.br/" TargetMode="External"/><Relationship Id="rId52" Type="http://schemas.openxmlformats.org/officeDocument/2006/relationships/hyperlink" Target="http://www.cenpec.org.br/" TargetMode="External"/><Relationship Id="rId60" Type="http://schemas.openxmlformats.org/officeDocument/2006/relationships/hyperlink" Target="http://www.amr.org.br/" TargetMode="External"/><Relationship Id="rId65" Type="http://schemas.openxmlformats.org/officeDocument/2006/relationships/hyperlink" Target="http://www.abrale.org.br/" TargetMode="External"/><Relationship Id="rId73" Type="http://schemas.openxmlformats.org/officeDocument/2006/relationships/printerSettings" Target="../printerSettings/printerSettings4.bin"/><Relationship Id="rId4" Type="http://schemas.openxmlformats.org/officeDocument/2006/relationships/hyperlink" Target="http://www.sosma.org.br/" TargetMode="External"/><Relationship Id="rId9" Type="http://schemas.openxmlformats.org/officeDocument/2006/relationships/hyperlink" Target="http://www.redefemininasbo.org.br/" TargetMode="External"/><Relationship Id="rId13" Type="http://schemas.openxmlformats.org/officeDocument/2006/relationships/hyperlink" Target="http://www.operacaosorriso.org.br/" TargetMode="External"/><Relationship Id="rId18" Type="http://schemas.openxmlformats.org/officeDocument/2006/relationships/hyperlink" Target="http://www.reciclar.org.br/" TargetMode="External"/><Relationship Id="rId39" Type="http://schemas.openxmlformats.org/officeDocument/2006/relationships/hyperlink" Target="http://www.salesianos.br/" TargetMode="External"/><Relationship Id="rId34" Type="http://schemas.openxmlformats.org/officeDocument/2006/relationships/hyperlink" Target="http://www.institutoc.org.br/" TargetMode="External"/><Relationship Id="rId50" Type="http://schemas.openxmlformats.org/officeDocument/2006/relationships/hyperlink" Target="http://www.cerene.org.br/" TargetMode="External"/><Relationship Id="rId55" Type="http://schemas.openxmlformats.org/officeDocument/2006/relationships/hyperlink" Target="http://www.bairrodajuventude.org.br/" TargetMode="External"/><Relationship Id="rId7" Type="http://schemas.openxmlformats.org/officeDocument/2006/relationships/hyperlink" Target="http://www.saudecrianca.org.br/" TargetMode="External"/><Relationship Id="rId71" Type="http://schemas.openxmlformats.org/officeDocument/2006/relationships/hyperlink" Target="http://www.abrace.com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2"/>
  <sheetViews>
    <sheetView zoomScale="63" zoomScaleNormal="63" workbookViewId="0">
      <pane ySplit="1" topLeftCell="A2" activePane="bottomLeft" state="frozen"/>
      <selection pane="bottomLeft" activeCell="A85" sqref="A85"/>
    </sheetView>
  </sheetViews>
  <sheetFormatPr defaultRowHeight="15" x14ac:dyDescent="0.25"/>
  <cols>
    <col min="1" max="1" width="27.7109375" style="1" customWidth="1"/>
    <col min="2" max="2" width="25" style="1" customWidth="1"/>
    <col min="3" max="3" width="40.85546875" style="1" customWidth="1"/>
    <col min="4" max="5" width="22.28515625" customWidth="1"/>
    <col min="6" max="6" width="21.28515625" customWidth="1"/>
    <col min="7" max="7" width="21.140625" customWidth="1"/>
    <col min="8" max="23" width="17.85546875" customWidth="1"/>
    <col min="24" max="27" width="17.85546875" hidden="1" customWidth="1"/>
    <col min="28" max="35" width="17.85546875" customWidth="1"/>
    <col min="36" max="37" width="15.5703125" style="40" customWidth="1"/>
    <col min="38" max="38" width="24.7109375" style="40" customWidth="1"/>
    <col min="39" max="39" width="11.5703125" style="40" customWidth="1"/>
    <col min="40" max="40" width="22.140625" style="40" bestFit="1" customWidth="1"/>
  </cols>
  <sheetData>
    <row r="1" spans="1:41" s="3" customFormat="1" ht="213" customHeight="1" thickBot="1" x14ac:dyDescent="0.3">
      <c r="A1" s="6" t="s">
        <v>12</v>
      </c>
      <c r="B1" s="7" t="s">
        <v>0</v>
      </c>
      <c r="C1" s="2" t="s">
        <v>364</v>
      </c>
      <c r="D1" s="2" t="s">
        <v>343</v>
      </c>
      <c r="E1" s="2" t="s">
        <v>344</v>
      </c>
      <c r="F1" s="2" t="s">
        <v>345</v>
      </c>
      <c r="G1" s="2" t="s">
        <v>346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351</v>
      </c>
      <c r="Q1" s="2" t="s">
        <v>352</v>
      </c>
      <c r="R1" s="2" t="s">
        <v>353</v>
      </c>
      <c r="S1" s="2" t="s">
        <v>354</v>
      </c>
      <c r="T1" s="2" t="s">
        <v>355</v>
      </c>
      <c r="U1" s="2" t="s">
        <v>356</v>
      </c>
      <c r="V1" s="2" t="s">
        <v>357</v>
      </c>
      <c r="W1" s="2" t="s">
        <v>358</v>
      </c>
      <c r="X1" s="2" t="s">
        <v>76</v>
      </c>
      <c r="Y1" s="2" t="s">
        <v>77</v>
      </c>
      <c r="Z1" s="2" t="s">
        <v>78</v>
      </c>
      <c r="AA1" s="2" t="s">
        <v>79</v>
      </c>
      <c r="AB1" s="2" t="s">
        <v>1</v>
      </c>
      <c r="AC1" s="2" t="s">
        <v>2</v>
      </c>
      <c r="AD1" s="2" t="s">
        <v>10</v>
      </c>
      <c r="AE1" s="2" t="s">
        <v>11</v>
      </c>
      <c r="AF1" s="2" t="s">
        <v>80</v>
      </c>
      <c r="AG1" s="2" t="s">
        <v>81</v>
      </c>
      <c r="AH1" s="2" t="s">
        <v>82</v>
      </c>
      <c r="AI1" s="2" t="s">
        <v>83</v>
      </c>
      <c r="AJ1" s="37" t="s">
        <v>15</v>
      </c>
      <c r="AK1" s="37" t="s">
        <v>16</v>
      </c>
      <c r="AL1" s="38" t="s">
        <v>359</v>
      </c>
      <c r="AM1" s="37" t="s">
        <v>3</v>
      </c>
      <c r="AN1" s="37" t="s">
        <v>4</v>
      </c>
    </row>
    <row r="2" spans="1:41" s="15" customFormat="1" ht="30" x14ac:dyDescent="0.25">
      <c r="A2" s="11" t="s">
        <v>6</v>
      </c>
      <c r="B2" s="12" t="s">
        <v>7</v>
      </c>
      <c r="C2" s="13" t="s">
        <v>62</v>
      </c>
      <c r="D2" s="14">
        <f>15269906+213422+5915048+92109+51322+98346</f>
        <v>21640153</v>
      </c>
      <c r="E2" s="14">
        <f>20109509+5075248+96983+225912+186784+84496</f>
        <v>25778932</v>
      </c>
      <c r="F2" s="14">
        <f>20815958+3030+6258367+102737+361344+338241+53236</f>
        <v>27932913</v>
      </c>
      <c r="G2" s="14">
        <f>26586126+13179+9743488+155600+1822775+278296+1115558</f>
        <v>39715022</v>
      </c>
      <c r="H2" s="14">
        <f>177606+119878</f>
        <v>297484</v>
      </c>
      <c r="I2" s="14">
        <f>0+198678</f>
        <v>198678</v>
      </c>
      <c r="J2" s="14">
        <f>332343</f>
        <v>332343</v>
      </c>
      <c r="K2" s="14">
        <f>1158411</f>
        <v>1158411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>
        <v>21491291</v>
      </c>
      <c r="AC2" s="14">
        <v>25495788</v>
      </c>
      <c r="AD2" s="14">
        <v>30649693</v>
      </c>
      <c r="AE2" s="14">
        <v>42920202</v>
      </c>
      <c r="AF2" s="14">
        <f>8756469+472599</f>
        <v>9229068</v>
      </c>
      <c r="AG2" s="14">
        <f>8963867+498145</f>
        <v>9462012</v>
      </c>
      <c r="AH2" s="14">
        <f>8940051+555549</f>
        <v>9495600</v>
      </c>
      <c r="AI2" s="14">
        <f>250000+9767183+748478</f>
        <v>10765661</v>
      </c>
      <c r="AJ2" s="39">
        <v>1959</v>
      </c>
      <c r="AK2" s="39">
        <f>2021-AJ2</f>
        <v>62</v>
      </c>
      <c r="AL2" s="39">
        <v>1</v>
      </c>
      <c r="AM2" s="39">
        <v>1</v>
      </c>
      <c r="AN2" s="39" t="s">
        <v>8</v>
      </c>
    </row>
    <row r="3" spans="1:41" s="26" customFormat="1" ht="60" x14ac:dyDescent="0.25">
      <c r="A3" s="23" t="s">
        <v>9</v>
      </c>
      <c r="B3" s="35" t="s">
        <v>21</v>
      </c>
      <c r="C3" s="24" t="s">
        <v>23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39"/>
      <c r="AK3" s="39"/>
      <c r="AL3" s="39"/>
      <c r="AM3" s="39"/>
      <c r="AN3" s="39"/>
    </row>
    <row r="4" spans="1:41" s="22" customFormat="1" ht="60" x14ac:dyDescent="0.25">
      <c r="A4" s="18" t="s">
        <v>14</v>
      </c>
      <c r="B4" s="19" t="s">
        <v>13</v>
      </c>
      <c r="C4" s="20" t="s">
        <v>22</v>
      </c>
      <c r="D4" s="21">
        <f>46042024+107131+476160</f>
        <v>46625315</v>
      </c>
      <c r="E4" s="21">
        <f>43906640+71165+216217</f>
        <v>44194022</v>
      </c>
      <c r="F4" s="21">
        <f>66864317+95318+78623</f>
        <v>67038258</v>
      </c>
      <c r="G4" s="21">
        <f>76886926+110834</f>
        <v>76997760</v>
      </c>
      <c r="H4" s="21">
        <v>104891</v>
      </c>
      <c r="I4" s="21">
        <v>70268</v>
      </c>
      <c r="J4" s="21">
        <v>89473</v>
      </c>
      <c r="K4" s="21">
        <v>0</v>
      </c>
      <c r="L4" s="21">
        <v>7548802</v>
      </c>
      <c r="M4" s="21">
        <v>9207179</v>
      </c>
      <c r="N4" s="21">
        <v>30863197</v>
      </c>
      <c r="O4" s="21">
        <v>16843924</v>
      </c>
      <c r="P4" s="21"/>
      <c r="Q4" s="21"/>
      <c r="R4" s="21"/>
      <c r="S4" s="21"/>
      <c r="T4" s="21"/>
      <c r="U4" s="21"/>
      <c r="V4" s="21"/>
      <c r="W4" s="21"/>
      <c r="X4" s="21">
        <v>3483175</v>
      </c>
      <c r="Y4" s="21">
        <v>3287949</v>
      </c>
      <c r="Z4" s="21">
        <v>3370759</v>
      </c>
      <c r="AA4" s="21">
        <v>5395572</v>
      </c>
      <c r="AB4" s="21"/>
      <c r="AC4" s="21"/>
      <c r="AD4" s="21"/>
      <c r="AE4" s="21"/>
      <c r="AF4" s="21"/>
      <c r="AG4" s="21"/>
      <c r="AH4" s="21"/>
      <c r="AI4" s="21"/>
      <c r="AJ4" s="39">
        <v>1975</v>
      </c>
      <c r="AK4" s="39">
        <f t="shared" ref="AK4:AK67" si="0">2021-AJ4</f>
        <v>46</v>
      </c>
      <c r="AL4" s="39">
        <v>1</v>
      </c>
      <c r="AM4" s="39">
        <v>1</v>
      </c>
      <c r="AN4" s="39" t="s">
        <v>17</v>
      </c>
      <c r="AO4" s="27"/>
    </row>
    <row r="5" spans="1:41" s="26" customFormat="1" ht="45" x14ac:dyDescent="0.25">
      <c r="A5" s="23" t="s">
        <v>19</v>
      </c>
      <c r="B5" s="28" t="s">
        <v>18</v>
      </c>
      <c r="C5" s="24" t="s">
        <v>318</v>
      </c>
      <c r="D5" s="29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39">
        <v>1978</v>
      </c>
      <c r="AK5" s="39">
        <f t="shared" si="0"/>
        <v>43</v>
      </c>
      <c r="AL5" s="39">
        <v>1</v>
      </c>
      <c r="AM5" s="39">
        <v>1</v>
      </c>
      <c r="AN5" s="39" t="s">
        <v>20</v>
      </c>
    </row>
    <row r="6" spans="1:41" s="15" customFormat="1" ht="75" x14ac:dyDescent="0.25">
      <c r="A6" s="11" t="s">
        <v>25</v>
      </c>
      <c r="B6" s="36" t="s">
        <v>24</v>
      </c>
      <c r="C6" s="16" t="s">
        <v>336</v>
      </c>
      <c r="D6" s="14">
        <f>2598916+154946+89118</f>
        <v>2842980</v>
      </c>
      <c r="E6" s="14">
        <f>2546210+13673+57457</f>
        <v>2617340</v>
      </c>
      <c r="F6" s="14">
        <f>2899072+43946</f>
        <v>2943018</v>
      </c>
      <c r="G6" s="14">
        <f>1581079+14358</f>
        <v>1595437</v>
      </c>
      <c r="H6" s="14">
        <v>0</v>
      </c>
      <c r="I6" s="14">
        <f>57457-37856</f>
        <v>19601</v>
      </c>
      <c r="J6" s="14">
        <f>43946-32470</f>
        <v>11476</v>
      </c>
      <c r="K6" s="14">
        <v>0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>
        <v>1197743</v>
      </c>
      <c r="AC6" s="14">
        <v>1103378</v>
      </c>
      <c r="AD6" s="14">
        <v>1133198</v>
      </c>
      <c r="AE6" s="14">
        <v>1137074</v>
      </c>
      <c r="AF6" s="14">
        <v>10295</v>
      </c>
      <c r="AG6" s="14">
        <v>24445</v>
      </c>
      <c r="AH6" s="14">
        <v>25350</v>
      </c>
      <c r="AI6" s="14">
        <v>18471</v>
      </c>
      <c r="AJ6" s="39">
        <v>2002</v>
      </c>
      <c r="AK6" s="39">
        <f t="shared" si="0"/>
        <v>19</v>
      </c>
      <c r="AL6" s="39">
        <v>3</v>
      </c>
      <c r="AM6" s="39">
        <v>1</v>
      </c>
      <c r="AN6" s="39" t="s">
        <v>5</v>
      </c>
    </row>
    <row r="7" spans="1:41" s="15" customFormat="1" ht="43.15" customHeight="1" x14ac:dyDescent="0.25">
      <c r="A7" s="11" t="s">
        <v>27</v>
      </c>
      <c r="B7" s="12" t="s">
        <v>26</v>
      </c>
      <c r="C7" s="16" t="s">
        <v>320</v>
      </c>
      <c r="D7" s="14">
        <f>13856+8953</f>
        <v>22809</v>
      </c>
      <c r="E7" s="14">
        <f>12750+7969</f>
        <v>20719</v>
      </c>
      <c r="F7" s="14">
        <f>11294+9923</f>
        <v>21217</v>
      </c>
      <c r="G7" s="14">
        <f>13356+5268</f>
        <v>18624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39">
        <v>1986</v>
      </c>
      <c r="AK7" s="39">
        <f t="shared" si="0"/>
        <v>35</v>
      </c>
      <c r="AL7" s="39">
        <v>4</v>
      </c>
      <c r="AM7" s="39">
        <v>2</v>
      </c>
      <c r="AN7" s="39" t="s">
        <v>5</v>
      </c>
    </row>
    <row r="8" spans="1:41" s="15" customFormat="1" ht="45" x14ac:dyDescent="0.25">
      <c r="A8" s="11" t="s">
        <v>29</v>
      </c>
      <c r="B8" s="12" t="s">
        <v>28</v>
      </c>
      <c r="C8" s="16" t="s">
        <v>319</v>
      </c>
      <c r="D8" s="14">
        <f>621054.58+436319.5</f>
        <v>1057374.08</v>
      </c>
      <c r="E8" s="14">
        <v>1617713.15</v>
      </c>
      <c r="F8" s="14">
        <v>2004589.11</v>
      </c>
      <c r="G8" s="14">
        <v>1779549.14</v>
      </c>
      <c r="H8" s="14">
        <v>0</v>
      </c>
      <c r="I8" s="14">
        <f>29315.91-27787.85</f>
        <v>1528.0600000000013</v>
      </c>
      <c r="J8" s="14">
        <f>33994.92-20084.19</f>
        <v>13910.73</v>
      </c>
      <c r="K8" s="14">
        <v>0</v>
      </c>
      <c r="L8" s="14">
        <v>0</v>
      </c>
      <c r="M8" s="14">
        <v>0</v>
      </c>
      <c r="N8" s="14">
        <v>0</v>
      </c>
      <c r="O8" s="14">
        <v>3172.61</v>
      </c>
      <c r="P8" s="14">
        <v>621054.57999999996</v>
      </c>
      <c r="Q8" s="14">
        <v>685706.49</v>
      </c>
      <c r="R8" s="14">
        <v>994030.11</v>
      </c>
      <c r="S8" s="14">
        <v>698220.46</v>
      </c>
      <c r="T8" s="14">
        <v>436319.5</v>
      </c>
      <c r="U8" s="14">
        <v>932006.66</v>
      </c>
      <c r="V8" s="14">
        <v>1010558.92</v>
      </c>
      <c r="W8" s="14">
        <v>1081328.68</v>
      </c>
      <c r="X8" s="14"/>
      <c r="Y8" s="14"/>
      <c r="Z8" s="14"/>
      <c r="AA8" s="14"/>
      <c r="AB8" s="14">
        <v>966009.99</v>
      </c>
      <c r="AC8" s="14">
        <v>1230538.08</v>
      </c>
      <c r="AD8" s="14">
        <v>1833568.08</v>
      </c>
      <c r="AE8" s="14">
        <v>2179503.94</v>
      </c>
      <c r="AF8" s="14">
        <v>425253.64</v>
      </c>
      <c r="AG8" s="14">
        <v>747228.06</v>
      </c>
      <c r="AH8" s="14">
        <v>796839.52</v>
      </c>
      <c r="AI8" s="14">
        <v>767007.3</v>
      </c>
      <c r="AJ8" s="39">
        <v>2005</v>
      </c>
      <c r="AK8" s="39">
        <f t="shared" si="0"/>
        <v>16</v>
      </c>
      <c r="AL8" s="39">
        <v>2</v>
      </c>
      <c r="AM8" s="39">
        <v>1</v>
      </c>
      <c r="AN8" s="39" t="s">
        <v>30</v>
      </c>
    </row>
    <row r="9" spans="1:41" s="22" customFormat="1" ht="57.6" customHeight="1" x14ac:dyDescent="0.25">
      <c r="A9" s="18" t="s">
        <v>32</v>
      </c>
      <c r="B9" s="19" t="s">
        <v>31</v>
      </c>
      <c r="C9" s="20" t="s">
        <v>321</v>
      </c>
      <c r="D9" s="21">
        <f>2205415+78618</f>
        <v>2284033</v>
      </c>
      <c r="E9" s="21">
        <f>3020478+56416+31437</f>
        <v>3108331</v>
      </c>
      <c r="F9" s="21">
        <f>3884059+51621+13781</f>
        <v>3949461</v>
      </c>
      <c r="G9" s="21">
        <v>10243000</v>
      </c>
      <c r="H9" s="21">
        <v>58661</v>
      </c>
      <c r="I9" s="21">
        <v>32835</v>
      </c>
      <c r="J9" s="21">
        <v>34984</v>
      </c>
      <c r="K9" s="41" t="s">
        <v>115</v>
      </c>
      <c r="L9" s="41" t="s">
        <v>115</v>
      </c>
      <c r="M9" s="21">
        <v>22620</v>
      </c>
      <c r="N9" s="21">
        <v>19024</v>
      </c>
      <c r="O9" s="41" t="s">
        <v>115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7058506</v>
      </c>
      <c r="AC9" s="21">
        <v>13790119</v>
      </c>
      <c r="AD9" s="21">
        <v>13361210</v>
      </c>
      <c r="AE9" s="41" t="s">
        <v>115</v>
      </c>
      <c r="AF9" s="21">
        <v>85079</v>
      </c>
      <c r="AG9" s="21">
        <v>74074</v>
      </c>
      <c r="AH9" s="21">
        <v>80142</v>
      </c>
      <c r="AI9" s="41" t="s">
        <v>115</v>
      </c>
      <c r="AJ9" s="39">
        <v>2008</v>
      </c>
      <c r="AK9" s="39">
        <f t="shared" si="0"/>
        <v>13</v>
      </c>
      <c r="AL9" s="39">
        <v>5</v>
      </c>
      <c r="AM9" s="39">
        <v>1</v>
      </c>
      <c r="AN9" s="39" t="s">
        <v>5</v>
      </c>
    </row>
    <row r="10" spans="1:41" s="15" customFormat="1" ht="45" x14ac:dyDescent="0.25">
      <c r="A10" s="11" t="s">
        <v>370</v>
      </c>
      <c r="B10" s="12" t="s">
        <v>33</v>
      </c>
      <c r="C10" s="16" t="s">
        <v>322</v>
      </c>
      <c r="D10" s="14">
        <f>6562000+1814000</f>
        <v>8376000</v>
      </c>
      <c r="E10" s="14">
        <f>5950000+1375000</f>
        <v>7325000</v>
      </c>
      <c r="F10" s="14">
        <f>5601000+2406000</f>
        <v>8007000</v>
      </c>
      <c r="G10" s="14">
        <f>8113000+2683000</f>
        <v>10796000</v>
      </c>
      <c r="H10" s="14">
        <f>1814000-167000</f>
        <v>1647000</v>
      </c>
      <c r="I10" s="14">
        <f>1375000-402000</f>
        <v>973000</v>
      </c>
      <c r="J10" s="14">
        <f>2406000-86000</f>
        <v>2320000</v>
      </c>
      <c r="K10" s="14">
        <f>2683000-1505000</f>
        <v>1178000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21778000</v>
      </c>
      <c r="AC10" s="14">
        <v>21250000</v>
      </c>
      <c r="AD10" s="14">
        <v>22676000</v>
      </c>
      <c r="AE10" s="14">
        <v>25872000</v>
      </c>
      <c r="AF10" s="14">
        <f>12291000</f>
        <v>12291000</v>
      </c>
      <c r="AG10" s="14">
        <v>12039000</v>
      </c>
      <c r="AH10" s="14">
        <f>12208000-199000</f>
        <v>12009000</v>
      </c>
      <c r="AI10" s="14">
        <f>11481000-564000</f>
        <v>10917000</v>
      </c>
      <c r="AJ10" s="39">
        <v>1971</v>
      </c>
      <c r="AK10" s="39">
        <f t="shared" si="0"/>
        <v>50</v>
      </c>
      <c r="AL10" s="39">
        <v>1</v>
      </c>
      <c r="AM10" s="39">
        <v>1</v>
      </c>
      <c r="AN10" s="39" t="s">
        <v>35</v>
      </c>
    </row>
    <row r="11" spans="1:41" s="15" customFormat="1" ht="30" x14ac:dyDescent="0.25">
      <c r="A11" s="11" t="s">
        <v>37</v>
      </c>
      <c r="B11" s="12" t="s">
        <v>36</v>
      </c>
      <c r="C11" s="16" t="s">
        <v>323</v>
      </c>
      <c r="D11" s="14">
        <f>416533333+31383836+3927932</f>
        <v>451845101</v>
      </c>
      <c r="E11" s="14">
        <f>449419873+73731783+5622511</f>
        <v>528774167</v>
      </c>
      <c r="F11" s="14">
        <f>496569266+28703337+6069730</f>
        <v>531342333</v>
      </c>
      <c r="G11" s="14">
        <f>563866182+35805474+6882002</f>
        <v>606553658</v>
      </c>
      <c r="H11" s="14">
        <v>0</v>
      </c>
      <c r="I11" s="14">
        <v>0</v>
      </c>
      <c r="J11" s="14">
        <v>0</v>
      </c>
      <c r="K11" s="14"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>
        <v>666343637</v>
      </c>
      <c r="AC11" s="14">
        <v>687017062</v>
      </c>
      <c r="AD11" s="14">
        <v>708541040</v>
      </c>
      <c r="AE11" s="14">
        <v>749681830</v>
      </c>
      <c r="AF11" s="14">
        <v>525371704</v>
      </c>
      <c r="AG11" s="14">
        <v>533776124</v>
      </c>
      <c r="AH11" s="14">
        <v>548877027</v>
      </c>
      <c r="AI11" s="14">
        <v>556562648</v>
      </c>
      <c r="AJ11" s="39">
        <v>1899</v>
      </c>
      <c r="AK11" s="39">
        <f t="shared" si="0"/>
        <v>122</v>
      </c>
      <c r="AL11" s="39">
        <v>3</v>
      </c>
      <c r="AM11" s="39">
        <v>1</v>
      </c>
      <c r="AN11" s="39" t="s">
        <v>17</v>
      </c>
    </row>
    <row r="12" spans="1:41" s="34" customFormat="1" ht="45" x14ac:dyDescent="0.25">
      <c r="A12" s="30" t="s">
        <v>39</v>
      </c>
      <c r="B12" s="31" t="s">
        <v>38</v>
      </c>
      <c r="C12" s="32" t="s">
        <v>337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9"/>
      <c r="AK12" s="39">
        <f t="shared" si="0"/>
        <v>2021</v>
      </c>
      <c r="AL12" s="39"/>
      <c r="AM12" s="39"/>
      <c r="AN12" s="39"/>
    </row>
    <row r="13" spans="1:41" s="15" customFormat="1" ht="60" x14ac:dyDescent="0.25">
      <c r="A13" s="11" t="s">
        <v>41</v>
      </c>
      <c r="B13" s="12" t="s">
        <v>40</v>
      </c>
      <c r="C13" s="16" t="s">
        <v>324</v>
      </c>
      <c r="D13" s="14">
        <v>1094376.68</v>
      </c>
      <c r="E13" s="14">
        <f>674635.04+107168.51+105192.17</f>
        <v>886995.72000000009</v>
      </c>
      <c r="F13" s="14">
        <v>1145744.24</v>
      </c>
      <c r="G13" s="14">
        <v>1123478.67</v>
      </c>
      <c r="H13" s="14">
        <f>18112.46-10129.46</f>
        <v>7983</v>
      </c>
      <c r="I13" s="14">
        <f>6997.05-6318.9</f>
        <v>678.15000000000055</v>
      </c>
      <c r="J13" s="14">
        <f>14863.68-6085.02</f>
        <v>8778.66</v>
      </c>
      <c r="K13" s="14">
        <f>8123.55-4602.38</f>
        <v>3521.17</v>
      </c>
      <c r="L13" s="14">
        <v>12742.71</v>
      </c>
      <c r="M13" s="14">
        <v>20505</v>
      </c>
      <c r="N13" s="14">
        <v>11973.21</v>
      </c>
      <c r="O13" s="14">
        <v>13990.69</v>
      </c>
      <c r="P13" s="14">
        <v>179103.7</v>
      </c>
      <c r="Q13" s="14">
        <v>105192.17</v>
      </c>
      <c r="R13" s="14">
        <v>136624.01999999999</v>
      </c>
      <c r="S13" s="14">
        <v>142047.41</v>
      </c>
      <c r="T13" s="14">
        <f>D13-P13</f>
        <v>915272.98</v>
      </c>
      <c r="U13" s="14">
        <f>E13-Q13</f>
        <v>781803.55</v>
      </c>
      <c r="V13" s="14">
        <f>F13-R13</f>
        <v>1009120.22</v>
      </c>
      <c r="W13" s="14">
        <f>G13-S13</f>
        <v>981431.25999999989</v>
      </c>
      <c r="X13" s="14"/>
      <c r="Y13" s="14"/>
      <c r="Z13" s="14"/>
      <c r="AA13" s="14"/>
      <c r="AB13" s="14">
        <v>990902.94</v>
      </c>
      <c r="AC13" s="14">
        <v>972577.91</v>
      </c>
      <c r="AD13" s="14">
        <v>1127449.3</v>
      </c>
      <c r="AE13" s="14">
        <v>1241601.77</v>
      </c>
      <c r="AF13" s="14">
        <v>518711.84</v>
      </c>
      <c r="AG13" s="14">
        <f>798217.05-266665.3</f>
        <v>531551.75</v>
      </c>
      <c r="AH13" s="14">
        <v>496531.27</v>
      </c>
      <c r="AI13" s="14">
        <v>459938.38</v>
      </c>
      <c r="AJ13" s="39">
        <v>1999</v>
      </c>
      <c r="AK13" s="39">
        <f t="shared" si="0"/>
        <v>22</v>
      </c>
      <c r="AL13" s="39">
        <v>3</v>
      </c>
      <c r="AM13" s="39">
        <v>1</v>
      </c>
      <c r="AN13" s="39" t="s">
        <v>42</v>
      </c>
    </row>
    <row r="14" spans="1:41" s="15" customFormat="1" ht="45" x14ac:dyDescent="0.25">
      <c r="A14" s="11" t="s">
        <v>44</v>
      </c>
      <c r="B14" s="12" t="s">
        <v>43</v>
      </c>
      <c r="C14" s="16" t="s">
        <v>45</v>
      </c>
      <c r="D14" s="14">
        <f>33484805+1961551</f>
        <v>35446356</v>
      </c>
      <c r="E14" s="14">
        <f>35598840+1223638</f>
        <v>36822478</v>
      </c>
      <c r="F14" s="14">
        <v>40897745.600000001</v>
      </c>
      <c r="G14" s="14">
        <v>34555422.799999997</v>
      </c>
      <c r="H14" s="14">
        <f>1961551-151975</f>
        <v>1809576</v>
      </c>
      <c r="I14" s="14">
        <f>1223638-115689</f>
        <v>1107949</v>
      </c>
      <c r="J14" s="14">
        <f>1151418.75-286358.66-32476.97</f>
        <v>832583.12000000011</v>
      </c>
      <c r="K14" s="14">
        <f>628062.65-59450.59-135265.83</f>
        <v>433346.2300000001</v>
      </c>
      <c r="L14" s="14">
        <v>0</v>
      </c>
      <c r="M14" s="14">
        <v>0</v>
      </c>
      <c r="N14" s="14">
        <v>56000</v>
      </c>
      <c r="O14" s="14"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v>25742478</v>
      </c>
      <c r="AC14" s="14">
        <v>24861895</v>
      </c>
      <c r="AD14" s="14">
        <v>26319288.920000002</v>
      </c>
      <c r="AE14" s="14">
        <v>28487910.510000002</v>
      </c>
      <c r="AF14" s="14">
        <v>1319622</v>
      </c>
      <c r="AG14" s="14">
        <v>1686515</v>
      </c>
      <c r="AH14" s="14">
        <v>2101366.13</v>
      </c>
      <c r="AI14" s="14">
        <v>2481878.4</v>
      </c>
      <c r="AJ14" s="39">
        <v>2002</v>
      </c>
      <c r="AK14" s="39">
        <f t="shared" si="0"/>
        <v>19</v>
      </c>
      <c r="AL14" s="39">
        <v>1</v>
      </c>
      <c r="AM14" s="39">
        <v>1</v>
      </c>
      <c r="AN14" s="39" t="s">
        <v>17</v>
      </c>
    </row>
    <row r="15" spans="1:41" s="22" customFormat="1" ht="120" x14ac:dyDescent="0.25">
      <c r="A15" s="18" t="s">
        <v>371</v>
      </c>
      <c r="B15" s="19" t="s">
        <v>326</v>
      </c>
      <c r="C15" s="20" t="s">
        <v>328</v>
      </c>
      <c r="D15" s="41" t="s">
        <v>115</v>
      </c>
      <c r="E15" s="21">
        <f>2172000+81000</f>
        <v>2253000</v>
      </c>
      <c r="F15" s="21">
        <f>1666000+52000</f>
        <v>1718000</v>
      </c>
      <c r="G15" s="21">
        <f>847342+186</f>
        <v>847528</v>
      </c>
      <c r="H15" s="21">
        <v>0</v>
      </c>
      <c r="I15" s="21">
        <f>41000</f>
        <v>41000</v>
      </c>
      <c r="J15" s="21">
        <f>52000-11000</f>
        <v>41000</v>
      </c>
      <c r="K15" s="21">
        <v>0</v>
      </c>
      <c r="L15" s="21"/>
      <c r="M15" s="21"/>
      <c r="N15" s="21"/>
      <c r="O15" s="21"/>
      <c r="P15" s="41" t="s">
        <v>115</v>
      </c>
      <c r="Q15" s="21">
        <f>1166000+23000</f>
        <v>1189000</v>
      </c>
      <c r="R15" s="21">
        <f>771000+18000</f>
        <v>789000</v>
      </c>
      <c r="S15" s="21">
        <v>88070</v>
      </c>
      <c r="T15" s="41" t="s">
        <v>115</v>
      </c>
      <c r="U15" s="21">
        <f>639000+344000</f>
        <v>983000</v>
      </c>
      <c r="V15" s="21">
        <f>403000+474000</f>
        <v>877000</v>
      </c>
      <c r="W15" s="21">
        <v>759273</v>
      </c>
      <c r="X15" s="21"/>
      <c r="Y15" s="21"/>
      <c r="Z15" s="21"/>
      <c r="AA15" s="21"/>
      <c r="AB15" s="41" t="s">
        <v>115</v>
      </c>
      <c r="AC15" s="21">
        <v>1542000</v>
      </c>
      <c r="AD15" s="21">
        <v>330000</v>
      </c>
      <c r="AE15" s="21">
        <v>263567</v>
      </c>
      <c r="AF15" s="41" t="s">
        <v>115</v>
      </c>
      <c r="AG15" s="21">
        <v>189000</v>
      </c>
      <c r="AH15" s="21">
        <v>171000</v>
      </c>
      <c r="AI15" s="21">
        <v>147655</v>
      </c>
      <c r="AJ15" s="39">
        <v>1995</v>
      </c>
      <c r="AK15" s="39">
        <f t="shared" si="0"/>
        <v>26</v>
      </c>
      <c r="AL15" s="39">
        <v>1</v>
      </c>
      <c r="AM15" s="39">
        <v>1</v>
      </c>
      <c r="AN15" s="39" t="s">
        <v>327</v>
      </c>
    </row>
    <row r="16" spans="1:41" s="15" customFormat="1" ht="30" x14ac:dyDescent="0.25">
      <c r="A16" s="11" t="s">
        <v>47</v>
      </c>
      <c r="B16" s="12" t="s">
        <v>46</v>
      </c>
      <c r="C16" s="16" t="s">
        <v>329</v>
      </c>
      <c r="D16" s="14">
        <f>24424949+40906</f>
        <v>24465855</v>
      </c>
      <c r="E16" s="14">
        <f>22349358+63836</f>
        <v>22413194</v>
      </c>
      <c r="F16" s="14">
        <f>18530613+72329</f>
        <v>18602942</v>
      </c>
      <c r="G16" s="14">
        <f>15752317+1645453+1586778+936048+1050409+343529+9904+21744</f>
        <v>21346182</v>
      </c>
      <c r="H16" s="14">
        <v>0</v>
      </c>
      <c r="I16" s="14">
        <v>55117</v>
      </c>
      <c r="J16" s="14">
        <v>27651</v>
      </c>
      <c r="K16" s="14">
        <v>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>
        <v>3468102</v>
      </c>
      <c r="AC16" s="14">
        <v>5114798</v>
      </c>
      <c r="AD16" s="14">
        <v>4357331</v>
      </c>
      <c r="AE16" s="14">
        <v>6628509</v>
      </c>
      <c r="AF16" s="14">
        <v>794691</v>
      </c>
      <c r="AG16" s="14">
        <f>549640+17896</f>
        <v>567536</v>
      </c>
      <c r="AH16" s="14">
        <f>440230+65364</f>
        <v>505594</v>
      </c>
      <c r="AI16" s="14">
        <f>324318+63000</f>
        <v>387318</v>
      </c>
      <c r="AJ16" s="39">
        <v>1997</v>
      </c>
      <c r="AK16" s="39">
        <f t="shared" si="0"/>
        <v>24</v>
      </c>
      <c r="AL16" s="39">
        <v>5</v>
      </c>
      <c r="AM16" s="39">
        <v>1</v>
      </c>
      <c r="AN16" s="39" t="s">
        <v>48</v>
      </c>
    </row>
    <row r="17" spans="1:40" s="15" customFormat="1" ht="45" x14ac:dyDescent="0.25">
      <c r="A17" s="11" t="s">
        <v>372</v>
      </c>
      <c r="B17" s="12" t="s">
        <v>50</v>
      </c>
      <c r="C17" s="16" t="s">
        <v>330</v>
      </c>
      <c r="D17" s="14">
        <f>21675858+1233151+163120</f>
        <v>23072129</v>
      </c>
      <c r="E17" s="14">
        <f>20695204+695669+7500+44347+58717107801</f>
        <v>58738550521</v>
      </c>
      <c r="F17" s="14">
        <f>23694752+556606+35114+130372+49554</f>
        <v>24466398</v>
      </c>
      <c r="G17" s="14">
        <f>220695+683+94799+29893789</f>
        <v>30209966</v>
      </c>
      <c r="H17" s="14">
        <f>1207477</f>
        <v>1207477</v>
      </c>
      <c r="I17" s="14">
        <f>663631+41936+58388</f>
        <v>763955</v>
      </c>
      <c r="J17" s="14">
        <f>556606+35114</f>
        <v>591720</v>
      </c>
      <c r="K17" s="14">
        <f>220695+683</f>
        <v>221378</v>
      </c>
      <c r="L17" s="14"/>
      <c r="M17" s="14"/>
      <c r="N17" s="14"/>
      <c r="O17" s="14"/>
      <c r="P17" s="14">
        <f>10342670</f>
        <v>10342670</v>
      </c>
      <c r="Q17" s="14">
        <v>8216662</v>
      </c>
      <c r="R17" s="14">
        <f>9390574</f>
        <v>9390574</v>
      </c>
      <c r="S17" s="14">
        <v>16355899</v>
      </c>
      <c r="T17" s="14">
        <f>11333187+163120</f>
        <v>11496307</v>
      </c>
      <c r="U17" s="14">
        <f>107801+12478541</f>
        <v>12586342</v>
      </c>
      <c r="V17" s="14">
        <f>14304178+130372+49554</f>
        <v>14484104</v>
      </c>
      <c r="W17" s="14">
        <f>94799+13537890</f>
        <v>13632689</v>
      </c>
      <c r="X17" s="14"/>
      <c r="Y17" s="14"/>
      <c r="Z17" s="14"/>
      <c r="AA17" s="14"/>
      <c r="AB17" s="14">
        <v>26368047</v>
      </c>
      <c r="AC17" s="14">
        <v>26786369</v>
      </c>
      <c r="AD17" s="14">
        <v>31685784</v>
      </c>
      <c r="AE17" s="14">
        <v>31675933</v>
      </c>
      <c r="AF17" s="14">
        <v>7070366</v>
      </c>
      <c r="AG17" s="14">
        <v>8489516</v>
      </c>
      <c r="AH17" s="14">
        <f>9243144+52380</f>
        <v>9295524</v>
      </c>
      <c r="AI17" s="14">
        <f>44903+10796737</f>
        <v>10841640</v>
      </c>
      <c r="AJ17" s="39">
        <v>1965</v>
      </c>
      <c r="AK17" s="39">
        <f t="shared" si="0"/>
        <v>56</v>
      </c>
      <c r="AL17" s="39">
        <v>1</v>
      </c>
      <c r="AM17" s="39">
        <v>1</v>
      </c>
      <c r="AN17" s="39" t="s">
        <v>51</v>
      </c>
    </row>
    <row r="18" spans="1:40" s="34" customFormat="1" ht="60" x14ac:dyDescent="0.25">
      <c r="A18" s="30" t="s">
        <v>53</v>
      </c>
      <c r="B18" s="31" t="s">
        <v>52</v>
      </c>
      <c r="C18" s="32" t="s">
        <v>331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9"/>
      <c r="AK18" s="39">
        <f t="shared" si="0"/>
        <v>2021</v>
      </c>
      <c r="AL18" s="39"/>
      <c r="AM18" s="39"/>
      <c r="AN18" s="39"/>
    </row>
    <row r="19" spans="1:40" s="15" customFormat="1" ht="45" x14ac:dyDescent="0.25">
      <c r="A19" s="11" t="s">
        <v>55</v>
      </c>
      <c r="B19" s="12" t="s">
        <v>54</v>
      </c>
      <c r="C19" s="16" t="s">
        <v>56</v>
      </c>
      <c r="D19" s="14">
        <f>2482666</f>
        <v>2482666</v>
      </c>
      <c r="E19" s="14">
        <v>3428377</v>
      </c>
      <c r="F19" s="14">
        <f>3284348+13617</f>
        <v>3297965</v>
      </c>
      <c r="G19" s="14">
        <v>2210088</v>
      </c>
      <c r="H19" s="14">
        <v>0</v>
      </c>
      <c r="I19" s="14">
        <v>0</v>
      </c>
      <c r="J19" s="14">
        <v>13617</v>
      </c>
      <c r="K19" s="14">
        <v>0</v>
      </c>
      <c r="L19" s="14">
        <v>251688</v>
      </c>
      <c r="M19" s="14">
        <v>425674</v>
      </c>
      <c r="N19" s="14">
        <v>310782</v>
      </c>
      <c r="O19" s="14">
        <v>121827</v>
      </c>
      <c r="P19" s="14">
        <v>251688</v>
      </c>
      <c r="Q19" s="14">
        <v>425674</v>
      </c>
      <c r="R19" s="14">
        <v>310782</v>
      </c>
      <c r="S19" s="14">
        <v>121827</v>
      </c>
      <c r="T19" s="14">
        <v>2482666</v>
      </c>
      <c r="U19" s="14">
        <v>3002703</v>
      </c>
      <c r="V19" s="14">
        <v>2973566</v>
      </c>
      <c r="W19" s="14">
        <v>2088261</v>
      </c>
      <c r="X19" s="14"/>
      <c r="Y19" s="14"/>
      <c r="Z19" s="14"/>
      <c r="AA19" s="14"/>
      <c r="AB19" s="14">
        <v>1084387</v>
      </c>
      <c r="AC19" s="14">
        <v>1126759</v>
      </c>
      <c r="AD19" s="14">
        <v>1475355</v>
      </c>
      <c r="AE19" s="14">
        <v>1531605</v>
      </c>
      <c r="AF19" s="14">
        <v>180174</v>
      </c>
      <c r="AG19" s="14">
        <v>153003</v>
      </c>
      <c r="AH19" s="14">
        <v>170506</v>
      </c>
      <c r="AI19" s="14">
        <v>257854</v>
      </c>
      <c r="AJ19" s="39">
        <v>2006</v>
      </c>
      <c r="AK19" s="39">
        <f t="shared" si="0"/>
        <v>15</v>
      </c>
      <c r="AL19" s="39">
        <v>3</v>
      </c>
      <c r="AM19" s="39">
        <v>1</v>
      </c>
      <c r="AN19" s="39" t="s">
        <v>5</v>
      </c>
    </row>
    <row r="20" spans="1:40" s="15" customFormat="1" ht="30" x14ac:dyDescent="0.25">
      <c r="A20" s="11" t="s">
        <v>58</v>
      </c>
      <c r="B20" s="12" t="s">
        <v>57</v>
      </c>
      <c r="C20" s="16" t="s">
        <v>332</v>
      </c>
      <c r="D20" s="14">
        <f>2630977+386966+217603</f>
        <v>3235546</v>
      </c>
      <c r="E20" s="14">
        <f>2765477+251158</f>
        <v>3016635</v>
      </c>
      <c r="F20" s="14">
        <f>3726950+189617</f>
        <v>3916567</v>
      </c>
      <c r="G20" s="14">
        <f>2782826+191686</f>
        <v>2974512</v>
      </c>
      <c r="H20" s="14">
        <v>386966</v>
      </c>
      <c r="I20" s="14">
        <v>251158</v>
      </c>
      <c r="J20" s="14">
        <v>189617</v>
      </c>
      <c r="K20" s="14">
        <v>191686</v>
      </c>
      <c r="L20" s="14">
        <v>741711</v>
      </c>
      <c r="M20" s="14">
        <v>605611</v>
      </c>
      <c r="N20" s="14">
        <v>734461</v>
      </c>
      <c r="O20" s="14">
        <v>636054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>
        <v>4332199</v>
      </c>
      <c r="AC20" s="14">
        <v>5051142</v>
      </c>
      <c r="AD20" s="14">
        <v>4932697</v>
      </c>
      <c r="AE20" s="14">
        <v>5755113</v>
      </c>
      <c r="AF20" s="14">
        <f>46964+21361+3108723</f>
        <v>3177048</v>
      </c>
      <c r="AG20" s="14">
        <f>183606+17062+3305006</f>
        <v>3505674</v>
      </c>
      <c r="AH20" s="14">
        <v>3664712</v>
      </c>
      <c r="AI20" s="14">
        <v>3828175</v>
      </c>
      <c r="AJ20" s="39">
        <v>1997</v>
      </c>
      <c r="AK20" s="39">
        <f t="shared" si="0"/>
        <v>24</v>
      </c>
      <c r="AL20" s="39">
        <v>1</v>
      </c>
      <c r="AM20" s="39">
        <v>1</v>
      </c>
      <c r="AN20" s="39" t="s">
        <v>30</v>
      </c>
    </row>
    <row r="21" spans="1:40" s="34" customFormat="1" ht="45" x14ac:dyDescent="0.25">
      <c r="A21" s="30" t="s">
        <v>60</v>
      </c>
      <c r="B21" s="31" t="s">
        <v>59</v>
      </c>
      <c r="C21" s="32" t="s">
        <v>61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9"/>
      <c r="AK21" s="39">
        <f t="shared" si="0"/>
        <v>2021</v>
      </c>
      <c r="AL21" s="39"/>
      <c r="AM21" s="39"/>
      <c r="AN21" s="39"/>
    </row>
    <row r="22" spans="1:40" s="15" customFormat="1" ht="75" x14ac:dyDescent="0.25">
      <c r="A22" s="11" t="s">
        <v>373</v>
      </c>
      <c r="B22" s="12" t="s">
        <v>63</v>
      </c>
      <c r="C22" s="16" t="s">
        <v>65</v>
      </c>
      <c r="D22" s="14">
        <f>4051081.48+4129841.43</f>
        <v>8180922.9100000001</v>
      </c>
      <c r="E22" s="14">
        <f>3187272.36+4717783.8</f>
        <v>7905056.1600000001</v>
      </c>
      <c r="F22" s="14">
        <v>9265069.7699999996</v>
      </c>
      <c r="G22" s="14">
        <v>8623485.0299999993</v>
      </c>
      <c r="H22" s="14">
        <f>265845.71-4891.03</f>
        <v>260954.68000000002</v>
      </c>
      <c r="I22" s="14">
        <f>142850.86-0</f>
        <v>142850.85999999999</v>
      </c>
      <c r="J22" s="14">
        <f>103717.95-4309.63</f>
        <v>99408.319999999992</v>
      </c>
      <c r="K22" s="14">
        <v>40209.660000000003</v>
      </c>
      <c r="L22" s="14">
        <f>807115.5+19932.82</f>
        <v>827048.32</v>
      </c>
      <c r="M22" s="14">
        <f>476625+476625</f>
        <v>953250</v>
      </c>
      <c r="N22" s="14">
        <f>457787.5+457787.5</f>
        <v>915575</v>
      </c>
      <c r="O22" s="14">
        <f>177663.75+177663.75</f>
        <v>355327.5</v>
      </c>
      <c r="P22" s="14">
        <v>4051081.48</v>
      </c>
      <c r="Q22" s="14">
        <v>3187272.36</v>
      </c>
      <c r="R22" s="14">
        <v>4949750.96</v>
      </c>
      <c r="S22" s="14">
        <v>3774057.79</v>
      </c>
      <c r="T22" s="14">
        <f>4129841.43-265845.71</f>
        <v>3863995.72</v>
      </c>
      <c r="U22" s="14">
        <f>4717783.8-142850.86</f>
        <v>4574932.9399999995</v>
      </c>
      <c r="V22" s="14">
        <f>4315318.81-103717.95</f>
        <v>4211600.8599999994</v>
      </c>
      <c r="W22" s="14">
        <f>4849427.24-40209.66</f>
        <v>4809217.58</v>
      </c>
      <c r="X22" s="14"/>
      <c r="Y22" s="14"/>
      <c r="Z22" s="14"/>
      <c r="AA22" s="14"/>
      <c r="AB22" s="14">
        <v>28933671.170000002</v>
      </c>
      <c r="AC22" s="14">
        <v>94437931.5</v>
      </c>
      <c r="AD22" s="14">
        <v>90723120.760000005</v>
      </c>
      <c r="AE22" s="14">
        <v>83114416.650000006</v>
      </c>
      <c r="AF22" s="14">
        <v>6073380.54</v>
      </c>
      <c r="AG22" s="14">
        <v>90761915.109999999</v>
      </c>
      <c r="AH22" s="14">
        <v>87894270.909999996</v>
      </c>
      <c r="AI22" s="14">
        <v>79687267.290000007</v>
      </c>
      <c r="AJ22" s="39">
        <v>1773</v>
      </c>
      <c r="AK22" s="39">
        <f t="shared" si="0"/>
        <v>248</v>
      </c>
      <c r="AL22" s="39">
        <v>1</v>
      </c>
      <c r="AM22" s="39">
        <v>1</v>
      </c>
      <c r="AN22" s="39" t="s">
        <v>66</v>
      </c>
    </row>
    <row r="23" spans="1:40" s="34" customFormat="1" ht="45" x14ac:dyDescent="0.25">
      <c r="A23" s="30" t="s">
        <v>374</v>
      </c>
      <c r="B23" s="31" t="s">
        <v>67</v>
      </c>
      <c r="C23" s="32" t="s">
        <v>68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9"/>
      <c r="AK23" s="39">
        <f t="shared" si="0"/>
        <v>2021</v>
      </c>
      <c r="AL23" s="39"/>
      <c r="AM23" s="39"/>
      <c r="AN23" s="39"/>
    </row>
    <row r="24" spans="1:40" s="15" customFormat="1" ht="45" x14ac:dyDescent="0.25">
      <c r="A24" s="11" t="s">
        <v>70</v>
      </c>
      <c r="B24" s="12" t="s">
        <v>69</v>
      </c>
      <c r="C24" s="16" t="s">
        <v>71</v>
      </c>
      <c r="D24" s="14">
        <f>35595107</f>
        <v>35595107</v>
      </c>
      <c r="E24" s="14">
        <v>38705305</v>
      </c>
      <c r="F24" s="14">
        <v>44285527</v>
      </c>
      <c r="G24" s="14">
        <v>50630421</v>
      </c>
      <c r="H24" s="14">
        <v>1551275</v>
      </c>
      <c r="I24" s="14">
        <v>880488</v>
      </c>
      <c r="J24" s="14">
        <v>1008666</v>
      </c>
      <c r="K24" s="14">
        <v>1054780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74988243</v>
      </c>
      <c r="AC24" s="14">
        <v>64992589</v>
      </c>
      <c r="AD24" s="14">
        <v>72271238</v>
      </c>
      <c r="AE24" s="14">
        <v>98137449</v>
      </c>
      <c r="AF24" s="14">
        <v>3029675</v>
      </c>
      <c r="AG24" s="14">
        <v>3862374</v>
      </c>
      <c r="AH24" s="14">
        <v>4202411</v>
      </c>
      <c r="AI24" s="14">
        <v>4709731</v>
      </c>
      <c r="AJ24" s="39">
        <v>1994</v>
      </c>
      <c r="AK24" s="39">
        <f t="shared" si="0"/>
        <v>27</v>
      </c>
      <c r="AL24" s="39">
        <v>4</v>
      </c>
      <c r="AM24" s="39">
        <v>1</v>
      </c>
      <c r="AN24" s="39" t="s">
        <v>5</v>
      </c>
    </row>
    <row r="25" spans="1:40" ht="30" x14ac:dyDescent="0.25">
      <c r="A25" s="4" t="s">
        <v>87</v>
      </c>
      <c r="B25" s="17" t="s">
        <v>84</v>
      </c>
      <c r="C25" s="8" t="s">
        <v>85</v>
      </c>
      <c r="D25" s="5">
        <v>13841000</v>
      </c>
      <c r="E25" s="5">
        <v>11888000</v>
      </c>
      <c r="F25" s="5">
        <v>10298000</v>
      </c>
      <c r="G25" s="5">
        <v>6578000</v>
      </c>
      <c r="H25" s="5">
        <v>1094000</v>
      </c>
      <c r="I25" s="5">
        <v>607000</v>
      </c>
      <c r="J25" s="5">
        <v>509000</v>
      </c>
      <c r="K25" s="5">
        <v>199000</v>
      </c>
      <c r="L25" s="5">
        <v>23000</v>
      </c>
      <c r="M25" s="5">
        <v>23000</v>
      </c>
      <c r="N25" s="5">
        <v>28000</v>
      </c>
      <c r="O25" s="5">
        <v>28000</v>
      </c>
      <c r="P25" s="5"/>
      <c r="Q25" s="5"/>
      <c r="R25" s="5"/>
      <c r="S25" s="5"/>
      <c r="T25" s="5"/>
      <c r="U25" s="5"/>
      <c r="V25" s="5"/>
      <c r="W25" s="5"/>
      <c r="X25" s="5">
        <f>1500000+570000</f>
        <v>2070000</v>
      </c>
      <c r="Y25" s="5">
        <f>1530000+610000</f>
        <v>2140000</v>
      </c>
      <c r="Z25" s="5">
        <f>870000+505000</f>
        <v>1375000</v>
      </c>
      <c r="AA25" s="5">
        <f>509000+132000</f>
        <v>641000</v>
      </c>
      <c r="AB25" s="5">
        <v>16397000</v>
      </c>
      <c r="AC25" s="5">
        <v>14728000</v>
      </c>
      <c r="AD25" s="5">
        <v>13406000</v>
      </c>
      <c r="AE25" s="5">
        <v>11611000</v>
      </c>
      <c r="AF25" s="5">
        <f>713000+612000</f>
        <v>1325000</v>
      </c>
      <c r="AG25" s="5">
        <f>652000-612000</f>
        <v>40000</v>
      </c>
      <c r="AH25" s="5">
        <f>658000-629000</f>
        <v>29000</v>
      </c>
      <c r="AI25" s="5">
        <f>676000-638000</f>
        <v>38000</v>
      </c>
      <c r="AJ25" s="39">
        <v>1994</v>
      </c>
      <c r="AK25" s="39">
        <f t="shared" si="0"/>
        <v>27</v>
      </c>
      <c r="AL25" s="39">
        <v>1</v>
      </c>
      <c r="AM25" s="39">
        <v>1</v>
      </c>
      <c r="AN25" s="39" t="s">
        <v>35</v>
      </c>
    </row>
    <row r="26" spans="1:40" ht="45" x14ac:dyDescent="0.25">
      <c r="A26" s="4" t="s">
        <v>375</v>
      </c>
      <c r="B26" s="17" t="s">
        <v>86</v>
      </c>
      <c r="C26" s="8" t="s">
        <v>89</v>
      </c>
      <c r="D26" s="5">
        <f>1390299</f>
        <v>1390299</v>
      </c>
      <c r="E26" s="5">
        <v>2612363</v>
      </c>
      <c r="F26" s="5">
        <v>3392407</v>
      </c>
      <c r="G26" s="5">
        <v>3873235</v>
      </c>
      <c r="H26" s="5">
        <f>690742-7130</f>
        <v>683612</v>
      </c>
      <c r="I26" s="5">
        <f>642620-15283</f>
        <v>627337</v>
      </c>
      <c r="J26" s="5">
        <f>533157-8002</f>
        <v>525155</v>
      </c>
      <c r="K26" s="5">
        <f>429082-8747</f>
        <v>420335</v>
      </c>
      <c r="L26" s="5">
        <v>56963</v>
      </c>
      <c r="M26" s="5">
        <v>75978</v>
      </c>
      <c r="N26" s="5">
        <v>239554</v>
      </c>
      <c r="O26" s="5">
        <v>69610</v>
      </c>
      <c r="P26" s="5">
        <v>62650</v>
      </c>
      <c r="Q26" s="5">
        <v>590860</v>
      </c>
      <c r="R26" s="5">
        <v>1619734</v>
      </c>
      <c r="S26" s="5">
        <v>1254068</v>
      </c>
      <c r="T26" s="5">
        <f>1390299-62650</f>
        <v>1327649</v>
      </c>
      <c r="U26" s="5">
        <f>2612363-590860</f>
        <v>2021503</v>
      </c>
      <c r="V26" s="5">
        <f>3392407-1619734</f>
        <v>1772673</v>
      </c>
      <c r="W26" s="5">
        <f>3873235-1254068</f>
        <v>2619167</v>
      </c>
      <c r="X26" s="5"/>
      <c r="Y26" s="5"/>
      <c r="Z26" s="5"/>
      <c r="AA26" s="5"/>
      <c r="AB26" s="5">
        <v>8514279</v>
      </c>
      <c r="AC26" s="5">
        <v>9738896</v>
      </c>
      <c r="AD26" s="5">
        <v>9445471</v>
      </c>
      <c r="AE26" s="5">
        <v>8677433</v>
      </c>
      <c r="AF26" s="5">
        <v>1485662</v>
      </c>
      <c r="AG26" s="5">
        <v>1489628</v>
      </c>
      <c r="AH26" s="5">
        <v>1442031</v>
      </c>
      <c r="AI26" s="5">
        <v>1287638</v>
      </c>
      <c r="AJ26" s="39">
        <v>1995</v>
      </c>
      <c r="AK26" s="39">
        <f t="shared" si="0"/>
        <v>26</v>
      </c>
      <c r="AL26" s="39">
        <v>1</v>
      </c>
      <c r="AM26" s="39">
        <v>1</v>
      </c>
      <c r="AN26" s="39" t="s">
        <v>5</v>
      </c>
    </row>
    <row r="27" spans="1:40" s="15" customFormat="1" ht="30" x14ac:dyDescent="0.25">
      <c r="A27" s="11" t="s">
        <v>91</v>
      </c>
      <c r="B27" s="12" t="s">
        <v>90</v>
      </c>
      <c r="C27" s="16" t="s">
        <v>333</v>
      </c>
      <c r="D27" s="14">
        <f>5278425.3+154494.77</f>
        <v>5432920.0699999994</v>
      </c>
      <c r="E27" s="14">
        <f>5439342.44+126908.84</f>
        <v>5566251.2800000003</v>
      </c>
      <c r="F27" s="14">
        <f>6179354.26+136627.73</f>
        <v>6315981.9900000002</v>
      </c>
      <c r="G27" s="14">
        <f>6180646.54+50835.82</f>
        <v>6231482.3600000003</v>
      </c>
      <c r="H27" s="14">
        <v>144720.54999999999</v>
      </c>
      <c r="I27" s="14">
        <v>119764.55</v>
      </c>
      <c r="J27" s="14">
        <v>127961.1</v>
      </c>
      <c r="K27" s="14">
        <v>41712.400000000001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v>13951884.960000001</v>
      </c>
      <c r="AC27" s="14">
        <v>16738176.33</v>
      </c>
      <c r="AD27" s="14">
        <v>19517629.050000001</v>
      </c>
      <c r="AE27" s="14">
        <v>23168943.52</v>
      </c>
      <c r="AF27" s="14">
        <v>184177.23</v>
      </c>
      <c r="AG27" s="14">
        <v>298860.73</v>
      </c>
      <c r="AH27" s="14">
        <v>660939.56999999995</v>
      </c>
      <c r="AI27" s="14">
        <v>739338.2</v>
      </c>
      <c r="AJ27" s="39">
        <v>2003</v>
      </c>
      <c r="AK27" s="39">
        <f t="shared" si="0"/>
        <v>18</v>
      </c>
      <c r="AL27" s="39">
        <v>2</v>
      </c>
      <c r="AM27" s="39">
        <v>1</v>
      </c>
      <c r="AN27" s="39" t="s">
        <v>35</v>
      </c>
    </row>
    <row r="28" spans="1:40" s="34" customFormat="1" ht="75" x14ac:dyDescent="0.25">
      <c r="A28" s="30" t="s">
        <v>93</v>
      </c>
      <c r="B28" s="31" t="s">
        <v>92</v>
      </c>
      <c r="C28" s="32" t="s">
        <v>334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9"/>
      <c r="AK28" s="39">
        <f t="shared" si="0"/>
        <v>2021</v>
      </c>
      <c r="AL28" s="39"/>
      <c r="AM28" s="39"/>
      <c r="AN28" s="39"/>
    </row>
    <row r="29" spans="1:40" s="34" customFormat="1" ht="45" x14ac:dyDescent="0.25">
      <c r="A29" s="30" t="s">
        <v>376</v>
      </c>
      <c r="B29" s="31" t="s">
        <v>94</v>
      </c>
      <c r="C29" s="32" t="s">
        <v>95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9"/>
      <c r="AK29" s="39">
        <f t="shared" si="0"/>
        <v>2021</v>
      </c>
      <c r="AL29" s="39"/>
      <c r="AM29" s="39"/>
      <c r="AN29" s="39"/>
    </row>
    <row r="30" spans="1:40" ht="45" x14ac:dyDescent="0.25">
      <c r="A30" s="4" t="s">
        <v>377</v>
      </c>
      <c r="B30" s="17" t="s">
        <v>96</v>
      </c>
      <c r="C30" s="8" t="s">
        <v>98</v>
      </c>
      <c r="D30" s="5">
        <f>1550977.24+76666.5</f>
        <v>1627643.74</v>
      </c>
      <c r="E30" s="5">
        <f>1341289.13+53868.51+22646.42</f>
        <v>1417804.0599999998</v>
      </c>
      <c r="F30" s="5">
        <f>1609609.92+628.75+17051.3</f>
        <v>1627289.97</v>
      </c>
      <c r="G30" s="5">
        <f>2412160.69+54822.77</f>
        <v>2466983.46</v>
      </c>
      <c r="H30" s="5">
        <v>76666.5</v>
      </c>
      <c r="I30" s="5">
        <v>53868.51</v>
      </c>
      <c r="J30" s="5">
        <v>17051.3</v>
      </c>
      <c r="K30" s="5">
        <v>0</v>
      </c>
      <c r="L30" s="5">
        <v>0</v>
      </c>
      <c r="M30" s="5">
        <v>91100</v>
      </c>
      <c r="N30" s="5">
        <v>27300</v>
      </c>
      <c r="O30" s="5">
        <v>107220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41" t="s">
        <v>115</v>
      </c>
      <c r="AC30" s="5">
        <v>3491741.35</v>
      </c>
      <c r="AD30" s="5">
        <v>4164387.23</v>
      </c>
      <c r="AE30" s="5">
        <v>3940163.2</v>
      </c>
      <c r="AF30" s="41" t="s">
        <v>115</v>
      </c>
      <c r="AG30" s="5">
        <v>59946.42</v>
      </c>
      <c r="AH30" s="5">
        <v>23824.13</v>
      </c>
      <c r="AI30" s="5">
        <v>15967.97</v>
      </c>
      <c r="AJ30" s="39">
        <v>2014</v>
      </c>
      <c r="AK30" s="39">
        <f t="shared" si="0"/>
        <v>7</v>
      </c>
      <c r="AL30" s="39">
        <v>7</v>
      </c>
      <c r="AM30" s="39">
        <v>1</v>
      </c>
      <c r="AN30" s="39" t="s">
        <v>5</v>
      </c>
    </row>
    <row r="31" spans="1:40" ht="45" x14ac:dyDescent="0.25">
      <c r="A31" s="4" t="s">
        <v>100</v>
      </c>
      <c r="B31" s="17" t="s">
        <v>99</v>
      </c>
      <c r="C31" s="8" t="s">
        <v>101</v>
      </c>
      <c r="D31" s="5">
        <f>3624644+166956</f>
        <v>3791600</v>
      </c>
      <c r="E31" s="5">
        <f>3424434+159390</f>
        <v>3583824</v>
      </c>
      <c r="F31" s="5">
        <f>3640553+196048</f>
        <v>3836601</v>
      </c>
      <c r="G31" s="5">
        <f>4341115+89299</f>
        <v>4430414</v>
      </c>
      <c r="H31" s="5">
        <v>166956</v>
      </c>
      <c r="I31" s="5">
        <v>159390</v>
      </c>
      <c r="J31" s="5">
        <v>196048</v>
      </c>
      <c r="K31" s="5">
        <v>89299</v>
      </c>
      <c r="L31" s="5">
        <v>64000</v>
      </c>
      <c r="M31" s="5">
        <v>79500</v>
      </c>
      <c r="N31" s="5">
        <v>50615</v>
      </c>
      <c r="O31" s="5">
        <v>61445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>
        <f>2281180</f>
        <v>2281180</v>
      </c>
      <c r="AC31" s="5">
        <v>3101471</v>
      </c>
      <c r="AD31" s="5">
        <v>3860813</v>
      </c>
      <c r="AE31" s="5">
        <v>5428807</v>
      </c>
      <c r="AF31" s="5">
        <v>13409</v>
      </c>
      <c r="AG31" s="5">
        <v>27583</v>
      </c>
      <c r="AH31" s="5">
        <v>43858</v>
      </c>
      <c r="AI31" s="5">
        <v>135255</v>
      </c>
      <c r="AJ31" s="39">
        <v>1999</v>
      </c>
      <c r="AK31" s="39">
        <f t="shared" si="0"/>
        <v>22</v>
      </c>
      <c r="AL31" s="39">
        <v>7</v>
      </c>
      <c r="AM31" s="39">
        <v>1</v>
      </c>
      <c r="AN31" s="39" t="s">
        <v>5</v>
      </c>
    </row>
    <row r="32" spans="1:40" s="59" customFormat="1" ht="60" x14ac:dyDescent="0.25">
      <c r="A32" s="54" t="s">
        <v>103</v>
      </c>
      <c r="B32" s="55" t="s">
        <v>102</v>
      </c>
      <c r="C32" s="56" t="s">
        <v>338</v>
      </c>
      <c r="D32" s="57">
        <f>1118979.92+745482.08+16112.85+86888.14+176160+250591.07+2297.8+153871.46</f>
        <v>2550383.3199999998</v>
      </c>
      <c r="E32" s="57">
        <f>1290285.12+111422.88</f>
        <v>1401708</v>
      </c>
      <c r="F32" s="57">
        <f>1308553.7+97985.84</f>
        <v>1406539.54</v>
      </c>
      <c r="G32" s="57">
        <f>2768053.92</f>
        <v>2768053.92</v>
      </c>
      <c r="H32" s="57">
        <f>153871.46-2407.86</f>
        <v>151463.6</v>
      </c>
      <c r="I32" s="57">
        <f>111422.88-2111.16</f>
        <v>109311.72</v>
      </c>
      <c r="J32" s="57">
        <f>97985.84-2318.25</f>
        <v>95667.59</v>
      </c>
      <c r="K32" s="57">
        <f>66720.9-3288.73</f>
        <v>63432.169999999991</v>
      </c>
      <c r="L32" s="57">
        <v>176160</v>
      </c>
      <c r="M32" s="57">
        <v>213520</v>
      </c>
      <c r="N32" s="57">
        <v>213520</v>
      </c>
      <c r="O32" s="57">
        <v>238720</v>
      </c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>
        <v>1699222.77</v>
      </c>
      <c r="AC32" s="57">
        <v>1774230.66</v>
      </c>
      <c r="AD32" s="57">
        <v>1818045.82</v>
      </c>
      <c r="AE32" s="57">
        <v>2481857.59</v>
      </c>
      <c r="AF32" s="57">
        <v>32078.01</v>
      </c>
      <c r="AG32" s="57">
        <v>31994.639999999999</v>
      </c>
      <c r="AH32" s="57">
        <v>28672.71</v>
      </c>
      <c r="AI32" s="57">
        <v>29881.02</v>
      </c>
      <c r="AJ32" s="58">
        <v>2010</v>
      </c>
      <c r="AK32" s="58">
        <f t="shared" si="0"/>
        <v>11</v>
      </c>
      <c r="AL32" s="58">
        <v>1</v>
      </c>
      <c r="AM32" s="58">
        <v>1</v>
      </c>
      <c r="AN32" s="58" t="s">
        <v>66</v>
      </c>
    </row>
    <row r="33" spans="1:40" s="34" customFormat="1" ht="90" x14ac:dyDescent="0.25">
      <c r="A33" s="30" t="s">
        <v>378</v>
      </c>
      <c r="B33" s="31" t="s">
        <v>104</v>
      </c>
      <c r="C33" s="32" t="s">
        <v>105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9"/>
      <c r="AK33" s="39">
        <f t="shared" si="0"/>
        <v>2021</v>
      </c>
      <c r="AL33" s="39"/>
      <c r="AM33" s="39"/>
      <c r="AN33" s="39"/>
    </row>
    <row r="34" spans="1:40" ht="45" x14ac:dyDescent="0.25">
      <c r="A34" s="4" t="s">
        <v>107</v>
      </c>
      <c r="B34" s="17" t="s">
        <v>106</v>
      </c>
      <c r="C34" s="8" t="s">
        <v>108</v>
      </c>
      <c r="D34" s="5">
        <f>1193926+33401</f>
        <v>1227327</v>
      </c>
      <c r="E34" s="5">
        <f>1106439+16654</f>
        <v>1123093</v>
      </c>
      <c r="F34" s="5">
        <f>1109249+23663</f>
        <v>1132912</v>
      </c>
      <c r="G34" s="5">
        <f>2269401+12828</f>
        <v>2282229</v>
      </c>
      <c r="H34" s="5">
        <v>33401</v>
      </c>
      <c r="I34" s="5">
        <v>16654</v>
      </c>
      <c r="J34" s="5">
        <v>23663</v>
      </c>
      <c r="K34" s="5">
        <v>12828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>
        <v>335788</v>
      </c>
      <c r="AC34" s="5">
        <v>269786</v>
      </c>
      <c r="AD34" s="5">
        <v>490808</v>
      </c>
      <c r="AE34" s="5">
        <v>1033682</v>
      </c>
      <c r="AF34" s="5">
        <v>31125</v>
      </c>
      <c r="AG34" s="5">
        <v>33675</v>
      </c>
      <c r="AH34" s="5">
        <v>34908</v>
      </c>
      <c r="AI34" s="5">
        <v>40400</v>
      </c>
      <c r="AJ34" s="39">
        <v>2007</v>
      </c>
      <c r="AK34" s="39">
        <f t="shared" si="0"/>
        <v>14</v>
      </c>
      <c r="AL34" s="39">
        <v>1</v>
      </c>
      <c r="AM34" s="39">
        <v>1</v>
      </c>
      <c r="AN34" s="39" t="s">
        <v>17</v>
      </c>
    </row>
    <row r="35" spans="1:40" s="34" customFormat="1" ht="60" x14ac:dyDescent="0.25">
      <c r="A35" s="30" t="s">
        <v>110</v>
      </c>
      <c r="B35" s="31" t="s">
        <v>109</v>
      </c>
      <c r="C35" s="32" t="s">
        <v>111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9"/>
      <c r="AK35" s="39">
        <f t="shared" si="0"/>
        <v>2021</v>
      </c>
      <c r="AL35" s="39"/>
      <c r="AM35" s="39"/>
      <c r="AN35" s="39"/>
    </row>
    <row r="36" spans="1:40" s="22" customFormat="1" ht="75" x14ac:dyDescent="0.25">
      <c r="A36" s="18" t="s">
        <v>113</v>
      </c>
      <c r="B36" s="19" t="s">
        <v>112</v>
      </c>
      <c r="C36" s="20" t="s">
        <v>114</v>
      </c>
      <c r="D36" s="21">
        <f>5206905+450-2710</f>
        <v>5204645</v>
      </c>
      <c r="E36" s="21">
        <f>6458900+1007-2326</f>
        <v>6457581</v>
      </c>
      <c r="F36" s="21">
        <f>7537636+2591-2086</f>
        <v>7538141</v>
      </c>
      <c r="G36" s="41" t="s">
        <v>115</v>
      </c>
      <c r="H36" s="21">
        <v>0</v>
      </c>
      <c r="I36" s="21">
        <v>0</v>
      </c>
      <c r="J36" s="21">
        <v>505</v>
      </c>
      <c r="K36" s="41" t="s">
        <v>115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2968088</v>
      </c>
      <c r="AC36" s="21">
        <v>2928648</v>
      </c>
      <c r="AD36" s="21">
        <v>2541176</v>
      </c>
      <c r="AE36" s="41" t="s">
        <v>115</v>
      </c>
      <c r="AF36" s="21">
        <v>2700657</v>
      </c>
      <c r="AG36" s="21">
        <v>2795328</v>
      </c>
      <c r="AH36" s="21">
        <v>2340820</v>
      </c>
      <c r="AI36" s="41" t="s">
        <v>115</v>
      </c>
      <c r="AJ36" s="39">
        <v>2005</v>
      </c>
      <c r="AK36" s="39">
        <f t="shared" si="0"/>
        <v>16</v>
      </c>
      <c r="AL36" s="39">
        <v>4</v>
      </c>
      <c r="AM36" s="39">
        <v>1</v>
      </c>
      <c r="AN36" s="39" t="s">
        <v>5</v>
      </c>
    </row>
    <row r="37" spans="1:40" ht="45" x14ac:dyDescent="0.25">
      <c r="A37" s="4" t="s">
        <v>117</v>
      </c>
      <c r="B37" s="17" t="s">
        <v>116</v>
      </c>
      <c r="C37" s="8" t="s">
        <v>118</v>
      </c>
      <c r="D37" s="5">
        <f>2279201.98+621275.89</f>
        <v>2900477.87</v>
      </c>
      <c r="E37" s="5">
        <f>1037369.95+449818.3</f>
        <v>1487188.25</v>
      </c>
      <c r="F37" s="5">
        <f>7132285.05</f>
        <v>7132285.0499999998</v>
      </c>
      <c r="G37" s="5">
        <f>3570942.15</f>
        <v>3570942.15</v>
      </c>
      <c r="H37" s="5">
        <f>559992.63-2226.12</f>
        <v>557766.51</v>
      </c>
      <c r="I37" s="5">
        <f>410938.4-4054.76</f>
        <v>406883.64</v>
      </c>
      <c r="J37" s="5">
        <f>423093.93-12231.13</f>
        <v>410862.8</v>
      </c>
      <c r="K37" s="5">
        <f>272580.43-171612.08</f>
        <v>100968.35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v>8734203.2699999996</v>
      </c>
      <c r="AC37" s="5">
        <v>11255584.050000001</v>
      </c>
      <c r="AD37" s="5">
        <v>11617533.550000001</v>
      </c>
      <c r="AE37" s="5">
        <v>12388335.43</v>
      </c>
      <c r="AF37" s="5">
        <f>230277+1258.38</f>
        <v>231535.38</v>
      </c>
      <c r="AG37" s="5">
        <f>246408.37+561.78</f>
        <v>246970.15</v>
      </c>
      <c r="AH37" s="5">
        <v>176844.77</v>
      </c>
      <c r="AI37" s="5">
        <v>98465.69</v>
      </c>
      <c r="AJ37" s="39">
        <v>2000</v>
      </c>
      <c r="AK37" s="39">
        <f t="shared" si="0"/>
        <v>21</v>
      </c>
      <c r="AL37" s="39">
        <v>1</v>
      </c>
      <c r="AM37" s="39">
        <v>1</v>
      </c>
      <c r="AN37" s="39" t="s">
        <v>66</v>
      </c>
    </row>
    <row r="38" spans="1:40" ht="75" x14ac:dyDescent="0.25">
      <c r="A38" s="4" t="s">
        <v>120</v>
      </c>
      <c r="B38" s="17" t="s">
        <v>119</v>
      </c>
      <c r="C38" s="8" t="s">
        <v>121</v>
      </c>
      <c r="D38" s="5">
        <f>2781026+271591</f>
        <v>3052617</v>
      </c>
      <c r="E38" s="5">
        <f>2667372+146934</f>
        <v>2814306</v>
      </c>
      <c r="F38" s="5">
        <f>3910888+204438</f>
        <v>4115326</v>
      </c>
      <c r="G38" s="5">
        <v>5180155</v>
      </c>
      <c r="H38" s="5">
        <v>271591</v>
      </c>
      <c r="I38" s="5">
        <v>146934</v>
      </c>
      <c r="J38" s="5">
        <v>204438</v>
      </c>
      <c r="K38" s="5">
        <v>122254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>
        <v>3878997</v>
      </c>
      <c r="AC38" s="5">
        <v>4271486</v>
      </c>
      <c r="AD38" s="5">
        <v>5333526</v>
      </c>
      <c r="AE38" s="41" t="s">
        <v>115</v>
      </c>
      <c r="AF38" s="5">
        <v>66883</v>
      </c>
      <c r="AG38" s="5">
        <v>51215</v>
      </c>
      <c r="AH38" s="5">
        <v>40255</v>
      </c>
      <c r="AI38" s="41" t="s">
        <v>115</v>
      </c>
      <c r="AJ38" s="39">
        <v>2005</v>
      </c>
      <c r="AK38" s="39">
        <f t="shared" si="0"/>
        <v>16</v>
      </c>
      <c r="AL38" s="39">
        <v>1</v>
      </c>
      <c r="AM38" s="39">
        <v>1</v>
      </c>
      <c r="AN38" s="39" t="s">
        <v>5</v>
      </c>
    </row>
    <row r="39" spans="1:40" s="15" customFormat="1" ht="60" x14ac:dyDescent="0.25">
      <c r="A39" s="11" t="s">
        <v>123</v>
      </c>
      <c r="B39" s="12" t="s">
        <v>122</v>
      </c>
      <c r="C39" s="16" t="s">
        <v>339</v>
      </c>
      <c r="D39" s="14">
        <f>2993790+19052+5372</f>
        <v>3018214</v>
      </c>
      <c r="E39" s="14">
        <f>2201996+2217925-19357</f>
        <v>4400564</v>
      </c>
      <c r="F39" s="14">
        <f>2439078+3262437-18267</f>
        <v>5683248</v>
      </c>
      <c r="G39" s="14">
        <f>4915519.27+732411.04+8797.5-6420.6</f>
        <v>5650307.21</v>
      </c>
      <c r="H39" s="14">
        <v>19052</v>
      </c>
      <c r="I39" s="14">
        <v>0</v>
      </c>
      <c r="J39" s="14">
        <v>0</v>
      </c>
      <c r="K39" s="14">
        <f>8797.5-6420.6</f>
        <v>2376.8999999999996</v>
      </c>
      <c r="L39" s="41" t="s">
        <v>115</v>
      </c>
      <c r="M39" s="14">
        <v>140000</v>
      </c>
      <c r="N39" s="14">
        <v>511530</v>
      </c>
      <c r="O39" s="14">
        <v>153040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>
        <v>1205864</v>
      </c>
      <c r="AC39" s="14">
        <v>2178770</v>
      </c>
      <c r="AD39" s="14">
        <v>6068343</v>
      </c>
      <c r="AE39" s="14">
        <v>1903704.54</v>
      </c>
      <c r="AF39" s="14">
        <v>14862</v>
      </c>
      <c r="AG39" s="14">
        <v>11934</v>
      </c>
      <c r="AH39" s="14">
        <v>1217034</v>
      </c>
      <c r="AI39" s="14">
        <v>1224414.78</v>
      </c>
      <c r="AJ39" s="39">
        <v>2000</v>
      </c>
      <c r="AK39" s="39">
        <f t="shared" si="0"/>
        <v>21</v>
      </c>
      <c r="AL39" s="39">
        <v>7</v>
      </c>
      <c r="AM39" s="39">
        <v>1</v>
      </c>
      <c r="AN39" s="39" t="s">
        <v>124</v>
      </c>
    </row>
    <row r="40" spans="1:40" s="34" customFormat="1" ht="45" x14ac:dyDescent="0.25">
      <c r="A40" s="30" t="s">
        <v>126</v>
      </c>
      <c r="B40" s="31" t="s">
        <v>125</v>
      </c>
      <c r="C40" s="32" t="s">
        <v>127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9"/>
      <c r="AK40" s="39">
        <f t="shared" si="0"/>
        <v>2021</v>
      </c>
      <c r="AL40" s="39"/>
      <c r="AM40" s="39"/>
      <c r="AN40" s="39"/>
    </row>
    <row r="41" spans="1:40" ht="75" x14ac:dyDescent="0.25">
      <c r="A41" s="4" t="s">
        <v>129</v>
      </c>
      <c r="B41" s="17" t="s">
        <v>128</v>
      </c>
      <c r="C41" s="8" t="s">
        <v>130</v>
      </c>
      <c r="D41" s="5">
        <f>15440419</f>
        <v>15440419</v>
      </c>
      <c r="E41" s="5">
        <v>11499186</v>
      </c>
      <c r="F41" s="5">
        <f>22381630</f>
        <v>22381630</v>
      </c>
      <c r="G41" s="5">
        <v>17781156</v>
      </c>
      <c r="H41" s="5">
        <v>0</v>
      </c>
      <c r="I41" s="5">
        <v>0</v>
      </c>
      <c r="J41" s="5">
        <v>0</v>
      </c>
      <c r="K41" s="5">
        <v>0</v>
      </c>
      <c r="L41" s="5">
        <v>2422660</v>
      </c>
      <c r="M41" s="5">
        <v>2260366</v>
      </c>
      <c r="N41" s="5">
        <v>2864833</v>
      </c>
      <c r="O41" s="5">
        <v>740899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>
        <v>17459058</v>
      </c>
      <c r="AC41" s="5">
        <v>18218077</v>
      </c>
      <c r="AD41" s="5">
        <v>18514241</v>
      </c>
      <c r="AE41" s="5">
        <v>18819748</v>
      </c>
      <c r="AF41" s="5">
        <f>10804717+1028</f>
        <v>10805745</v>
      </c>
      <c r="AG41" s="5">
        <f>10770783+1028</f>
        <v>10771811</v>
      </c>
      <c r="AH41" s="5">
        <f>13733755-3548882+11552-4103</f>
        <v>10192322</v>
      </c>
      <c r="AI41" s="5">
        <f>15858421-4052079+11552-5487</f>
        <v>11812407</v>
      </c>
      <c r="AJ41" s="39">
        <v>1991</v>
      </c>
      <c r="AK41" s="39">
        <f t="shared" si="0"/>
        <v>30</v>
      </c>
      <c r="AL41" s="39">
        <v>3</v>
      </c>
      <c r="AM41" s="39">
        <v>1</v>
      </c>
      <c r="AN41" s="39" t="s">
        <v>30</v>
      </c>
    </row>
    <row r="42" spans="1:40" ht="45.6" customHeight="1" x14ac:dyDescent="0.25">
      <c r="A42" s="4" t="s">
        <v>132</v>
      </c>
      <c r="B42" s="17" t="s">
        <v>131</v>
      </c>
      <c r="C42" s="8" t="s">
        <v>133</v>
      </c>
      <c r="D42" s="5">
        <f>782764+17580</f>
        <v>800344</v>
      </c>
      <c r="E42" s="5">
        <f>2487075+24370</f>
        <v>2511445</v>
      </c>
      <c r="F42" s="5">
        <f>2712921</f>
        <v>2712921</v>
      </c>
      <c r="G42" s="5">
        <f>2767348+973</f>
        <v>2768321</v>
      </c>
      <c r="H42" s="5">
        <v>0</v>
      </c>
      <c r="I42" s="5">
        <v>0</v>
      </c>
      <c r="J42" s="5">
        <v>0</v>
      </c>
      <c r="K42" s="5">
        <v>973</v>
      </c>
      <c r="L42" s="5">
        <v>135918</v>
      </c>
      <c r="M42" s="5">
        <v>116279</v>
      </c>
      <c r="N42" s="5">
        <v>119411</v>
      </c>
      <c r="O42" s="5">
        <v>104453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>
        <v>298226</v>
      </c>
      <c r="AC42" s="5">
        <v>1291070</v>
      </c>
      <c r="AD42" s="5">
        <v>1851040</v>
      </c>
      <c r="AE42" s="5">
        <v>7957042</v>
      </c>
      <c r="AF42" s="5">
        <v>154518</v>
      </c>
      <c r="AG42" s="5">
        <v>275910</v>
      </c>
      <c r="AH42" s="5">
        <v>255454</v>
      </c>
      <c r="AI42" s="5">
        <v>218491</v>
      </c>
      <c r="AJ42" s="39">
        <v>2003</v>
      </c>
      <c r="AK42" s="39">
        <f t="shared" si="0"/>
        <v>18</v>
      </c>
      <c r="AL42" s="39">
        <v>7</v>
      </c>
      <c r="AM42" s="39">
        <v>1</v>
      </c>
      <c r="AN42" s="39" t="s">
        <v>134</v>
      </c>
    </row>
    <row r="43" spans="1:40" ht="45" x14ac:dyDescent="0.25">
      <c r="A43" s="4" t="s">
        <v>137</v>
      </c>
      <c r="B43" s="17" t="s">
        <v>135</v>
      </c>
      <c r="C43" s="8" t="s">
        <v>138</v>
      </c>
      <c r="D43" s="5">
        <f>10246000+1461000</f>
        <v>11707000</v>
      </c>
      <c r="E43" s="5">
        <f>12797000+3128000</f>
        <v>15925000</v>
      </c>
      <c r="F43" s="5">
        <f>17238000+847000</f>
        <v>18085000</v>
      </c>
      <c r="G43" s="5">
        <f>19299000+2703000</f>
        <v>22002000</v>
      </c>
      <c r="H43" s="5">
        <v>1461000</v>
      </c>
      <c r="I43" s="5">
        <v>3128000</v>
      </c>
      <c r="J43" s="5">
        <v>847000</v>
      </c>
      <c r="K43" s="5">
        <v>2703000</v>
      </c>
      <c r="L43" s="41" t="s">
        <v>115</v>
      </c>
      <c r="M43" s="41" t="s">
        <v>115</v>
      </c>
      <c r="N43" s="41" t="s">
        <v>115</v>
      </c>
      <c r="O43" s="5">
        <v>254000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>
        <v>50325000</v>
      </c>
      <c r="AC43" s="5">
        <v>91455000</v>
      </c>
      <c r="AD43" s="5">
        <v>28195000</v>
      </c>
      <c r="AE43" s="5">
        <v>32695000</v>
      </c>
      <c r="AF43" s="5">
        <v>18335000</v>
      </c>
      <c r="AG43" s="5">
        <v>19945000</v>
      </c>
      <c r="AH43" s="5">
        <v>28195000</v>
      </c>
      <c r="AI43" s="5">
        <v>32695000</v>
      </c>
      <c r="AJ43" s="39">
        <v>1992</v>
      </c>
      <c r="AK43" s="39">
        <f t="shared" si="0"/>
        <v>29</v>
      </c>
      <c r="AL43" s="39">
        <v>4</v>
      </c>
      <c r="AM43" s="39">
        <v>1</v>
      </c>
      <c r="AN43" s="39" t="s">
        <v>136</v>
      </c>
    </row>
    <row r="44" spans="1:40" s="15" customFormat="1" ht="45" x14ac:dyDescent="0.25">
      <c r="A44" s="11" t="s">
        <v>140</v>
      </c>
      <c r="B44" s="12" t="s">
        <v>139</v>
      </c>
      <c r="C44" s="16" t="s">
        <v>141</v>
      </c>
      <c r="D44" s="14">
        <f>6855000</f>
        <v>6855000</v>
      </c>
      <c r="E44" s="14">
        <f>7496000+119000-2000</f>
        <v>7613000</v>
      </c>
      <c r="F44" s="14">
        <f>7647000+109000-6000</f>
        <v>7750000</v>
      </c>
      <c r="G44" s="14">
        <f>5939000+16000</f>
        <v>5955000</v>
      </c>
      <c r="H44" s="14">
        <v>0</v>
      </c>
      <c r="I44" s="14">
        <f>119000-2000</f>
        <v>117000</v>
      </c>
      <c r="J44" s="14">
        <f>109000-6000</f>
        <v>103000</v>
      </c>
      <c r="K44" s="14">
        <f>16000-4000</f>
        <v>12000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>
        <v>32974000</v>
      </c>
      <c r="AC44" s="14">
        <v>31059000</v>
      </c>
      <c r="AD44" s="14">
        <v>28236000</v>
      </c>
      <c r="AE44" s="14">
        <v>24791000</v>
      </c>
      <c r="AF44" s="14">
        <v>9340000</v>
      </c>
      <c r="AG44" s="14">
        <v>9265000</v>
      </c>
      <c r="AH44" s="14">
        <v>9185000</v>
      </c>
      <c r="AI44" s="14">
        <v>9094000</v>
      </c>
      <c r="AJ44" s="44">
        <v>1984</v>
      </c>
      <c r="AK44" s="44">
        <f t="shared" si="0"/>
        <v>37</v>
      </c>
      <c r="AL44" s="44">
        <v>4</v>
      </c>
      <c r="AM44" s="44">
        <v>1</v>
      </c>
      <c r="AN44" s="44" t="s">
        <v>51</v>
      </c>
    </row>
    <row r="45" spans="1:40" ht="75" x14ac:dyDescent="0.25">
      <c r="A45" s="4" t="s">
        <v>143</v>
      </c>
      <c r="B45" s="17" t="s">
        <v>142</v>
      </c>
      <c r="C45" s="8" t="s">
        <v>149</v>
      </c>
      <c r="D45" s="5">
        <f>11086201+10219936+780414+500254+288442</f>
        <v>22875247</v>
      </c>
      <c r="E45" s="5">
        <f>13681497+10970251+1063292+342851+129441+17849</f>
        <v>26205181</v>
      </c>
      <c r="F45" s="5">
        <f>13106199+11267675+114307+1495046+143679+24528+53655</f>
        <v>26205089</v>
      </c>
      <c r="G45" s="5">
        <f>13070202+9100115+304101+1318070+64445+19776</f>
        <v>23876709</v>
      </c>
      <c r="H45" s="5">
        <v>0</v>
      </c>
      <c r="I45" s="5">
        <v>0</v>
      </c>
      <c r="J45" s="5">
        <v>0</v>
      </c>
      <c r="K45" s="5">
        <v>0</v>
      </c>
      <c r="L45" s="41" t="s">
        <v>115</v>
      </c>
      <c r="M45" s="5">
        <v>17849</v>
      </c>
      <c r="N45" s="5">
        <v>24528</v>
      </c>
      <c r="O45" s="5">
        <v>19776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v>32332976</v>
      </c>
      <c r="AC45" s="5">
        <v>31617108</v>
      </c>
      <c r="AD45" s="5">
        <v>30605466</v>
      </c>
      <c r="AE45" s="5">
        <v>39574878</v>
      </c>
      <c r="AF45" s="5">
        <f>3786956+85074</f>
        <v>3872030</v>
      </c>
      <c r="AG45" s="5">
        <f>3591033+94811</f>
        <v>3685844</v>
      </c>
      <c r="AH45" s="5">
        <f>3450057+82050</f>
        <v>3532107</v>
      </c>
      <c r="AI45" s="5">
        <f>3144773+67257</f>
        <v>3212030</v>
      </c>
      <c r="AJ45" s="39">
        <v>1995</v>
      </c>
      <c r="AK45" s="39">
        <f t="shared" si="0"/>
        <v>26</v>
      </c>
      <c r="AL45" s="39">
        <v>4</v>
      </c>
      <c r="AM45" s="39">
        <v>1</v>
      </c>
      <c r="AN45" s="39" t="s">
        <v>144</v>
      </c>
    </row>
    <row r="46" spans="1:40" s="15" customFormat="1" ht="75" x14ac:dyDescent="0.25">
      <c r="A46" s="11" t="s">
        <v>146</v>
      </c>
      <c r="B46" s="12" t="s">
        <v>145</v>
      </c>
      <c r="C46" s="16" t="s">
        <v>148</v>
      </c>
      <c r="D46" s="14">
        <f>7204185.05+110473</f>
        <v>7314658.0499999998</v>
      </c>
      <c r="E46" s="14">
        <f>6076.97+8154951.06+31800.2</f>
        <v>8192828.2299999995</v>
      </c>
      <c r="F46" s="14">
        <f>8400000+114000</f>
        <v>8514000</v>
      </c>
      <c r="G46" s="14">
        <f>13560000+15000</f>
        <v>13575000</v>
      </c>
      <c r="H46" s="14">
        <v>0</v>
      </c>
      <c r="I46" s="14">
        <v>6076.97</v>
      </c>
      <c r="J46" s="14">
        <v>0</v>
      </c>
      <c r="K46" s="14">
        <v>36000</v>
      </c>
      <c r="L46" s="14"/>
      <c r="M46" s="14"/>
      <c r="N46" s="14"/>
      <c r="O46" s="14"/>
      <c r="P46" s="14">
        <f>110473</f>
        <v>110473</v>
      </c>
      <c r="Q46" s="14">
        <f>31800+6076.97</f>
        <v>37876.97</v>
      </c>
      <c r="R46" s="14" t="s">
        <v>115</v>
      </c>
      <c r="S46" s="14" t="s">
        <v>115</v>
      </c>
      <c r="T46" s="14">
        <v>7204185.0499999998</v>
      </c>
      <c r="U46" s="14">
        <v>8154951.0599999996</v>
      </c>
      <c r="V46" s="14" t="s">
        <v>115</v>
      </c>
      <c r="W46" s="14" t="s">
        <v>115</v>
      </c>
      <c r="X46" s="14"/>
      <c r="Y46" s="14"/>
      <c r="Z46" s="14"/>
      <c r="AA46" s="14"/>
      <c r="AB46" s="14">
        <v>2474180.9900000002</v>
      </c>
      <c r="AC46" s="14">
        <v>3135513.54</v>
      </c>
      <c r="AD46" s="14">
        <v>12528000</v>
      </c>
      <c r="AE46" s="14">
        <v>23430000</v>
      </c>
      <c r="AF46" s="14">
        <f>1001193.11-272662.84</f>
        <v>728530.27</v>
      </c>
      <c r="AG46" s="14">
        <f>1226408.04-175950</f>
        <v>1050458.04</v>
      </c>
      <c r="AH46" s="14">
        <f>2449000</f>
        <v>2449000</v>
      </c>
      <c r="AI46" s="14">
        <v>2837000</v>
      </c>
      <c r="AJ46" s="44">
        <v>2005</v>
      </c>
      <c r="AK46" s="44">
        <f t="shared" si="0"/>
        <v>16</v>
      </c>
      <c r="AL46" s="44">
        <v>4</v>
      </c>
      <c r="AM46" s="44">
        <v>1</v>
      </c>
      <c r="AN46" s="44" t="s">
        <v>147</v>
      </c>
    </row>
    <row r="47" spans="1:40" s="34" customFormat="1" ht="45" x14ac:dyDescent="0.25">
      <c r="A47" s="30" t="s">
        <v>151</v>
      </c>
      <c r="B47" s="31" t="s">
        <v>150</v>
      </c>
      <c r="C47" s="32" t="s">
        <v>152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9"/>
      <c r="AK47" s="39">
        <f t="shared" si="0"/>
        <v>2021</v>
      </c>
      <c r="AL47" s="39"/>
      <c r="AM47" s="39"/>
      <c r="AN47" s="39"/>
    </row>
    <row r="48" spans="1:40" ht="75" x14ac:dyDescent="0.25">
      <c r="A48" s="4" t="s">
        <v>154</v>
      </c>
      <c r="B48" s="17" t="s">
        <v>153</v>
      </c>
      <c r="C48" s="8" t="s">
        <v>157</v>
      </c>
      <c r="D48" s="5">
        <f>886311.05+17538.45</f>
        <v>903849.5</v>
      </c>
      <c r="E48" s="5">
        <f>931718.83+15919.22</f>
        <v>947638.04999999993</v>
      </c>
      <c r="F48" s="5">
        <f>1055237.25</f>
        <v>1055237.25</v>
      </c>
      <c r="G48" s="5">
        <v>2728080.41</v>
      </c>
      <c r="H48" s="5">
        <f>17538.45-6938.11</f>
        <v>10600.34</v>
      </c>
      <c r="I48" s="5">
        <f>15919.22-9807.55</f>
        <v>6111.67</v>
      </c>
      <c r="J48" s="5">
        <v>0</v>
      </c>
      <c r="K48" s="5">
        <v>0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>
        <v>419031.14</v>
      </c>
      <c r="AC48" s="5">
        <v>389786.18</v>
      </c>
      <c r="AD48" s="5">
        <v>578807.49</v>
      </c>
      <c r="AE48" s="5">
        <v>426980.25</v>
      </c>
      <c r="AF48" s="5">
        <v>49967.51</v>
      </c>
      <c r="AG48" s="5">
        <v>30446.57</v>
      </c>
      <c r="AH48" s="5">
        <v>38425.21</v>
      </c>
      <c r="AI48" s="5">
        <v>27920.63</v>
      </c>
      <c r="AJ48" s="39">
        <v>2005</v>
      </c>
      <c r="AK48" s="39">
        <f t="shared" si="0"/>
        <v>16</v>
      </c>
      <c r="AL48" s="39">
        <v>7</v>
      </c>
      <c r="AM48" s="39">
        <v>1</v>
      </c>
      <c r="AN48" s="39" t="s">
        <v>66</v>
      </c>
    </row>
    <row r="49" spans="1:40" ht="60" x14ac:dyDescent="0.25">
      <c r="A49" s="4" t="s">
        <v>156</v>
      </c>
      <c r="B49" s="17" t="s">
        <v>155</v>
      </c>
      <c r="C49" s="8" t="s">
        <v>158</v>
      </c>
      <c r="D49" s="5">
        <f>1960401+118062</f>
        <v>2078463</v>
      </c>
      <c r="E49" s="5">
        <f>1737661+33059</f>
        <v>1770720</v>
      </c>
      <c r="F49" s="5">
        <f>2496370+25773</f>
        <v>2522143</v>
      </c>
      <c r="G49" s="5">
        <f>2470555+17036</f>
        <v>2487591</v>
      </c>
      <c r="H49" s="5">
        <v>118062</v>
      </c>
      <c r="I49" s="5">
        <v>33059</v>
      </c>
      <c r="J49" s="5">
        <v>25773</v>
      </c>
      <c r="K49" s="5">
        <v>17036</v>
      </c>
      <c r="L49" s="5">
        <v>171352</v>
      </c>
      <c r="M49" s="5">
        <v>65741</v>
      </c>
      <c r="N49" s="5">
        <v>40829</v>
      </c>
      <c r="O49" s="5">
        <v>4115</v>
      </c>
      <c r="P49" s="5">
        <v>854516</v>
      </c>
      <c r="Q49" s="5">
        <v>547328</v>
      </c>
      <c r="R49" s="5">
        <v>1121591</v>
      </c>
      <c r="S49" s="5">
        <v>833899</v>
      </c>
      <c r="T49" s="5">
        <v>1105885</v>
      </c>
      <c r="U49" s="5">
        <v>1190333</v>
      </c>
      <c r="V49" s="5">
        <v>1374779</v>
      </c>
      <c r="W49" s="5">
        <v>1636656</v>
      </c>
      <c r="X49" s="5"/>
      <c r="Y49" s="5"/>
      <c r="Z49" s="5"/>
      <c r="AA49" s="5"/>
      <c r="AB49" s="5">
        <v>1543028</v>
      </c>
      <c r="AC49" s="5">
        <v>1464980</v>
      </c>
      <c r="AD49" s="5">
        <v>1623450</v>
      </c>
      <c r="AE49" s="5">
        <v>1806777</v>
      </c>
      <c r="AF49" s="5">
        <v>186195</v>
      </c>
      <c r="AG49" s="5">
        <v>155547</v>
      </c>
      <c r="AH49" s="5">
        <v>141706</v>
      </c>
      <c r="AI49" s="5">
        <v>132296</v>
      </c>
      <c r="AJ49" s="39">
        <v>2011</v>
      </c>
      <c r="AK49" s="39">
        <f t="shared" si="0"/>
        <v>10</v>
      </c>
      <c r="AL49" s="39">
        <v>1</v>
      </c>
      <c r="AM49" s="39">
        <v>1</v>
      </c>
      <c r="AN49" s="39" t="s">
        <v>5</v>
      </c>
    </row>
    <row r="50" spans="1:40" s="34" customFormat="1" ht="60" x14ac:dyDescent="0.25">
      <c r="A50" s="30" t="s">
        <v>160</v>
      </c>
      <c r="B50" s="31" t="s">
        <v>159</v>
      </c>
      <c r="C50" s="32" t="s">
        <v>161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9"/>
      <c r="AK50" s="39">
        <f t="shared" si="0"/>
        <v>2021</v>
      </c>
      <c r="AL50" s="39"/>
      <c r="AM50" s="39"/>
      <c r="AN50" s="39"/>
    </row>
    <row r="51" spans="1:40" ht="41.45" customHeight="1" x14ac:dyDescent="0.25">
      <c r="A51" s="4" t="s">
        <v>163</v>
      </c>
      <c r="B51" s="17" t="s">
        <v>162</v>
      </c>
      <c r="C51" s="8" t="s">
        <v>340</v>
      </c>
      <c r="D51" s="5">
        <f>2201922+1913025</f>
        <v>4114947</v>
      </c>
      <c r="E51" s="5">
        <f>5002565</f>
        <v>5002565</v>
      </c>
      <c r="F51" s="5">
        <f>3797220</f>
        <v>3797220</v>
      </c>
      <c r="G51" s="5">
        <f>4486622</f>
        <v>4486622</v>
      </c>
      <c r="H51" s="5">
        <f>22720-14821</f>
        <v>7899</v>
      </c>
      <c r="I51" s="5">
        <f>35932-15356</f>
        <v>20576</v>
      </c>
      <c r="J51" s="5">
        <f>70947-25105</f>
        <v>45842</v>
      </c>
      <c r="K51" s="5">
        <f>50464-21041</f>
        <v>29423</v>
      </c>
      <c r="L51" s="5"/>
      <c r="M51" s="5"/>
      <c r="N51" s="5"/>
      <c r="O51" s="5"/>
      <c r="P51" s="5">
        <v>2201922</v>
      </c>
      <c r="Q51" s="5">
        <v>3053026</v>
      </c>
      <c r="R51" s="5">
        <v>1896604</v>
      </c>
      <c r="S51" s="5">
        <v>1499082</v>
      </c>
      <c r="T51" s="5">
        <f>1913025</f>
        <v>1913025</v>
      </c>
      <c r="U51" s="5">
        <f>1949539</f>
        <v>1949539</v>
      </c>
      <c r="V51" s="5">
        <f>1900616</f>
        <v>1900616</v>
      </c>
      <c r="W51" s="5">
        <f>2987540</f>
        <v>2987540</v>
      </c>
      <c r="X51" s="5"/>
      <c r="Y51" s="5"/>
      <c r="Z51" s="5"/>
      <c r="AA51" s="5"/>
      <c r="AB51" s="5">
        <v>889847</v>
      </c>
      <c r="AC51" s="5">
        <v>1520956</v>
      </c>
      <c r="AD51" s="5">
        <v>2719625</v>
      </c>
      <c r="AE51" s="5">
        <v>3118499</v>
      </c>
      <c r="AF51" s="5">
        <v>194366</v>
      </c>
      <c r="AG51" s="5">
        <v>162933</v>
      </c>
      <c r="AH51" s="5">
        <v>137350</v>
      </c>
      <c r="AI51" s="5">
        <v>106570</v>
      </c>
      <c r="AJ51" s="39">
        <v>2001</v>
      </c>
      <c r="AK51" s="39">
        <f t="shared" si="0"/>
        <v>20</v>
      </c>
      <c r="AL51" s="39">
        <v>4</v>
      </c>
      <c r="AM51" s="39">
        <v>1</v>
      </c>
      <c r="AN51" s="39" t="s">
        <v>5</v>
      </c>
    </row>
    <row r="52" spans="1:40" ht="60" x14ac:dyDescent="0.25">
      <c r="A52" s="4" t="s">
        <v>165</v>
      </c>
      <c r="B52" s="17" t="s">
        <v>164</v>
      </c>
      <c r="C52" s="8" t="s">
        <v>169</v>
      </c>
      <c r="D52" s="5">
        <f>11341985+62282</f>
        <v>11404267</v>
      </c>
      <c r="E52" s="5">
        <v>10431914</v>
      </c>
      <c r="F52" s="5">
        <f>10688275</f>
        <v>10688275</v>
      </c>
      <c r="G52" s="5">
        <f>11357298</f>
        <v>11357298</v>
      </c>
      <c r="H52" s="5">
        <v>62282</v>
      </c>
      <c r="I52" s="5">
        <v>0</v>
      </c>
      <c r="J52" s="5">
        <v>0</v>
      </c>
      <c r="K52" s="5">
        <v>0</v>
      </c>
      <c r="L52" s="5"/>
      <c r="M52" s="5"/>
      <c r="N52" s="5"/>
      <c r="O52" s="5"/>
      <c r="P52" s="5">
        <f>277136+8113432</f>
        <v>8390568</v>
      </c>
      <c r="Q52" s="5">
        <f>1791413+6449861</f>
        <v>8241274</v>
      </c>
      <c r="R52" s="5">
        <v>6737811</v>
      </c>
      <c r="S52" s="5">
        <v>5527121</v>
      </c>
      <c r="T52" s="5">
        <f>2951417+62282</f>
        <v>3013699</v>
      </c>
      <c r="U52" s="5">
        <v>2190640</v>
      </c>
      <c r="V52" s="5">
        <f>3944824+5640</f>
        <v>3950464</v>
      </c>
      <c r="W52" s="5">
        <f>5822991+7186</f>
        <v>5830177</v>
      </c>
      <c r="X52" s="5"/>
      <c r="Y52" s="5"/>
      <c r="Z52" s="5"/>
      <c r="AA52" s="5"/>
      <c r="AB52" s="5">
        <v>11539260</v>
      </c>
      <c r="AC52" s="5">
        <v>12088120</v>
      </c>
      <c r="AD52" s="5">
        <v>8130207</v>
      </c>
      <c r="AE52" s="5">
        <v>6460794</v>
      </c>
      <c r="AF52" s="5">
        <v>5617386</v>
      </c>
      <c r="AG52" s="5">
        <v>5251833</v>
      </c>
      <c r="AH52" s="5">
        <v>5100482</v>
      </c>
      <c r="AI52" s="5">
        <v>4893683</v>
      </c>
      <c r="AJ52" s="39">
        <v>1978</v>
      </c>
      <c r="AK52" s="39">
        <f t="shared" si="0"/>
        <v>43</v>
      </c>
      <c r="AL52" s="39">
        <v>1</v>
      </c>
      <c r="AM52" s="39">
        <v>1</v>
      </c>
      <c r="AN52" s="39" t="s">
        <v>166</v>
      </c>
    </row>
    <row r="53" spans="1:40" ht="60" x14ac:dyDescent="0.25">
      <c r="A53" s="4" t="s">
        <v>168</v>
      </c>
      <c r="B53" s="17" t="s">
        <v>167</v>
      </c>
      <c r="C53" s="8" t="s">
        <v>170</v>
      </c>
      <c r="D53" s="5">
        <f>51878659.07</f>
        <v>51878659.07</v>
      </c>
      <c r="E53" s="5">
        <f>50313064.34</f>
        <v>50313064.340000004</v>
      </c>
      <c r="F53" s="5">
        <f>50583475.96+1225837.86</f>
        <v>51809313.82</v>
      </c>
      <c r="G53" s="5">
        <f>30977688.03+246534.73</f>
        <v>31224222.760000002</v>
      </c>
      <c r="H53" s="5">
        <f>11464.44+3695431.84-182789.71</f>
        <v>3524106.57</v>
      </c>
      <c r="I53" s="5">
        <f>24002.23+1805846.72-121246.78</f>
        <v>1708602.17</v>
      </c>
      <c r="J53" s="5">
        <v>1225837.8600000001</v>
      </c>
      <c r="K53" s="5">
        <v>246534.73</v>
      </c>
      <c r="L53" s="5">
        <v>80804.33</v>
      </c>
      <c r="M53" s="5">
        <v>96026.240000000005</v>
      </c>
      <c r="N53" s="5">
        <v>101802.92</v>
      </c>
      <c r="O53" s="5">
        <v>61198.75</v>
      </c>
      <c r="P53" s="5">
        <v>6202852.2800000003</v>
      </c>
      <c r="Q53" s="5">
        <v>6555081.9400000004</v>
      </c>
      <c r="R53" s="5">
        <v>6488885.0099999998</v>
      </c>
      <c r="S53" s="5">
        <v>6253222.4000000004</v>
      </c>
      <c r="T53" s="5">
        <f>45675806.79</f>
        <v>45675806.789999999</v>
      </c>
      <c r="U53" s="5">
        <f>43757982.4</f>
        <v>43757982.399999999</v>
      </c>
      <c r="V53" s="5">
        <f>559530.96+39142298.24+4290958.83+101802.92+1225837.86</f>
        <v>45320428.810000002</v>
      </c>
      <c r="W53" s="5">
        <f>404550.14+24258716.74+61198.75+246534.73</f>
        <v>24971000.359999999</v>
      </c>
      <c r="X53" s="5"/>
      <c r="Y53" s="5"/>
      <c r="Z53" s="5"/>
      <c r="AA53" s="5"/>
      <c r="AB53" s="5">
        <v>61712079.020000003</v>
      </c>
      <c r="AC53" s="5">
        <v>62740589.740000002</v>
      </c>
      <c r="AD53" s="5">
        <v>61437584.619999997</v>
      </c>
      <c r="AE53" s="5">
        <v>73167950.989999995</v>
      </c>
      <c r="AF53" s="5">
        <f>27464424.88+84647.48</f>
        <v>27549072.359999999</v>
      </c>
      <c r="AG53" s="5">
        <f>26969908.99+78332.68</f>
        <v>27048241.669999998</v>
      </c>
      <c r="AH53" s="5">
        <v>28288496.41</v>
      </c>
      <c r="AI53" s="5">
        <v>52286217.950000003</v>
      </c>
      <c r="AJ53" s="39">
        <v>1963</v>
      </c>
      <c r="AK53" s="39">
        <f t="shared" si="0"/>
        <v>58</v>
      </c>
      <c r="AL53" s="39">
        <v>1</v>
      </c>
      <c r="AM53" s="39">
        <v>1</v>
      </c>
      <c r="AN53" s="39" t="s">
        <v>171</v>
      </c>
    </row>
    <row r="54" spans="1:40" s="15" customFormat="1" ht="45" x14ac:dyDescent="0.25">
      <c r="A54" s="11" t="s">
        <v>379</v>
      </c>
      <c r="B54" s="12" t="s">
        <v>172</v>
      </c>
      <c r="C54" s="16" t="s">
        <v>174</v>
      </c>
      <c r="D54" s="14">
        <f>2384666.74</f>
        <v>2384666.7400000002</v>
      </c>
      <c r="E54" s="14">
        <f>2853935.17</f>
        <v>2853935.17</v>
      </c>
      <c r="F54" s="14">
        <f>2711865.89</f>
        <v>2711865.89</v>
      </c>
      <c r="G54" s="14">
        <v>2105440.29</v>
      </c>
      <c r="H54" s="14">
        <f>85673.99-11974.92</f>
        <v>73699.070000000007</v>
      </c>
      <c r="I54" s="14">
        <f>52526.98-11365.54</f>
        <v>41161.440000000002</v>
      </c>
      <c r="J54" s="14">
        <f>59530.35-10527.52</f>
        <v>49002.83</v>
      </c>
      <c r="K54" s="14">
        <f>28065.29-12216.05</f>
        <v>15849.240000000002</v>
      </c>
      <c r="L54" s="14">
        <v>111409.76</v>
      </c>
      <c r="M54" s="14">
        <v>102155.87</v>
      </c>
      <c r="N54" s="14">
        <v>65752.210000000006</v>
      </c>
      <c r="O54" s="14">
        <v>70437.119999999995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>
        <v>4489670.6900000004</v>
      </c>
      <c r="AC54" s="14">
        <v>4905298.12</v>
      </c>
      <c r="AD54" s="14">
        <v>4947306.8099999996</v>
      </c>
      <c r="AE54" s="14">
        <v>4722202.92</v>
      </c>
      <c r="AF54" s="14">
        <v>2276331.75</v>
      </c>
      <c r="AG54" s="14">
        <v>2157654.31</v>
      </c>
      <c r="AH54" s="14">
        <v>2078850.7</v>
      </c>
      <c r="AI54" s="14">
        <v>2000333.6</v>
      </c>
      <c r="AJ54" s="44">
        <v>1992</v>
      </c>
      <c r="AK54" s="44">
        <f t="shared" si="0"/>
        <v>29</v>
      </c>
      <c r="AL54" s="44">
        <v>1</v>
      </c>
      <c r="AM54" s="44">
        <v>1</v>
      </c>
      <c r="AN54" s="44" t="s">
        <v>171</v>
      </c>
    </row>
    <row r="55" spans="1:40" ht="75" x14ac:dyDescent="0.25">
      <c r="A55" s="4" t="s">
        <v>176</v>
      </c>
      <c r="B55" s="17" t="s">
        <v>175</v>
      </c>
      <c r="C55" s="8" t="s">
        <v>177</v>
      </c>
      <c r="D55" s="5">
        <f>121113000+46718000+4910000+7239000+2956000+249000+7776000</f>
        <v>190961000</v>
      </c>
      <c r="E55" s="5">
        <f>116352000+45345000+4835000+6314000+5889000+196000+9137000</f>
        <v>188068000</v>
      </c>
      <c r="F55" s="5">
        <f>189233180.43+2368032.91</f>
        <v>191601213.34</v>
      </c>
      <c r="G55" s="5">
        <f>169757451.76+1358816.29</f>
        <v>171116268.04999998</v>
      </c>
      <c r="H55" s="5">
        <v>0</v>
      </c>
      <c r="I55" s="5">
        <v>0</v>
      </c>
      <c r="J55" s="5">
        <v>0</v>
      </c>
      <c r="K55" s="5">
        <v>0</v>
      </c>
      <c r="L55" s="5">
        <f>42000+174000+32000</f>
        <v>248000</v>
      </c>
      <c r="M55" s="5">
        <f>55000+212000+7000</f>
        <v>274000</v>
      </c>
      <c r="N55" s="5">
        <f>1839866.73</f>
        <v>1839866.73</v>
      </c>
      <c r="O55" s="5">
        <v>1797377.76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>
        <v>626752000</v>
      </c>
      <c r="AC55" s="5">
        <v>638383000</v>
      </c>
      <c r="AD55" s="5">
        <v>680138487.11000001</v>
      </c>
      <c r="AE55" s="5">
        <v>688620704.78999996</v>
      </c>
      <c r="AF55" s="5">
        <f>364701000+186703000+516000</f>
        <v>551920000</v>
      </c>
      <c r="AG55" s="5">
        <f>375576000+182419000+466000</f>
        <v>558461000</v>
      </c>
      <c r="AH55" s="5">
        <f>588796580.1-31287047.09</f>
        <v>557509533.00999999</v>
      </c>
      <c r="AI55" s="5">
        <f>591440239.79-33140218.87</f>
        <v>558300020.91999996</v>
      </c>
      <c r="AJ55" s="39">
        <v>1947</v>
      </c>
      <c r="AK55" s="39">
        <f t="shared" si="0"/>
        <v>74</v>
      </c>
      <c r="AL55" s="39">
        <v>1</v>
      </c>
      <c r="AM55" s="39">
        <v>1</v>
      </c>
      <c r="AN55" s="39" t="s">
        <v>17</v>
      </c>
    </row>
    <row r="56" spans="1:40" ht="45" x14ac:dyDescent="0.25">
      <c r="A56" s="4" t="s">
        <v>380</v>
      </c>
      <c r="B56" s="17" t="s">
        <v>178</v>
      </c>
      <c r="C56" s="8" t="s">
        <v>179</v>
      </c>
      <c r="D56" s="5">
        <f>80517582</f>
        <v>80517582</v>
      </c>
      <c r="E56" s="5">
        <f>84392183</f>
        <v>84392183</v>
      </c>
      <c r="F56" s="5">
        <f>87229546</f>
        <v>87229546</v>
      </c>
      <c r="G56" s="5">
        <f>89600590</f>
        <v>89600590</v>
      </c>
      <c r="H56" s="5">
        <v>0</v>
      </c>
      <c r="I56" s="5">
        <v>0</v>
      </c>
      <c r="J56" s="5">
        <v>0</v>
      </c>
      <c r="K56" s="5">
        <v>0</v>
      </c>
      <c r="L56" s="5">
        <v>39175</v>
      </c>
      <c r="M56" s="5">
        <v>48009</v>
      </c>
      <c r="N56" s="5">
        <v>49233</v>
      </c>
      <c r="O56" s="5">
        <v>14629</v>
      </c>
      <c r="P56" s="5">
        <v>4294875</v>
      </c>
      <c r="Q56" s="5">
        <v>6325483</v>
      </c>
      <c r="R56" s="5">
        <v>5431974</v>
      </c>
      <c r="S56" s="5">
        <v>7553021</v>
      </c>
      <c r="T56" s="5">
        <f>80517582-4294875</f>
        <v>76222707</v>
      </c>
      <c r="U56" s="5">
        <f>84392188-6325483</f>
        <v>78066705</v>
      </c>
      <c r="V56" s="5">
        <f>87229546-5431974</f>
        <v>81797572</v>
      </c>
      <c r="W56" s="5">
        <f>89600590-7553021</f>
        <v>82047569</v>
      </c>
      <c r="X56" s="5"/>
      <c r="Y56" s="5"/>
      <c r="Z56" s="5"/>
      <c r="AA56" s="5"/>
      <c r="AB56" s="5">
        <v>69918262</v>
      </c>
      <c r="AC56" s="5">
        <v>63791998</v>
      </c>
      <c r="AD56" s="5">
        <v>58523451</v>
      </c>
      <c r="AE56" s="5">
        <v>75394325</v>
      </c>
      <c r="AF56" s="5">
        <f>44893271-5000934</f>
        <v>39892337</v>
      </c>
      <c r="AG56" s="5">
        <f>41160577-36000</f>
        <v>41124577</v>
      </c>
      <c r="AH56" s="5">
        <f>41141520-31200</f>
        <v>41110320</v>
      </c>
      <c r="AI56" s="5">
        <f>51686720-10994988</f>
        <v>40691732</v>
      </c>
      <c r="AJ56" s="39">
        <v>1980</v>
      </c>
      <c r="AK56" s="39">
        <f t="shared" si="0"/>
        <v>41</v>
      </c>
      <c r="AL56" s="39">
        <v>3</v>
      </c>
      <c r="AM56" s="39">
        <v>1</v>
      </c>
      <c r="AN56" s="39" t="s">
        <v>181</v>
      </c>
    </row>
    <row r="57" spans="1:40" ht="60" x14ac:dyDescent="0.25">
      <c r="A57" s="4" t="s">
        <v>183</v>
      </c>
      <c r="B57" s="17" t="s">
        <v>182</v>
      </c>
      <c r="C57" s="8" t="s">
        <v>184</v>
      </c>
      <c r="D57" s="5">
        <f>6800487-17081</f>
        <v>6783406</v>
      </c>
      <c r="E57" s="5">
        <f>7582666-85718</f>
        <v>7496948</v>
      </c>
      <c r="F57" s="5">
        <f>9719827+84477</f>
        <v>9804304</v>
      </c>
      <c r="G57" s="5">
        <f>8372499+14613</f>
        <v>8387112</v>
      </c>
      <c r="H57" s="5">
        <f>25905-17081</f>
        <v>8824</v>
      </c>
      <c r="I57" s="5">
        <v>0</v>
      </c>
      <c r="J57" s="5">
        <v>84477</v>
      </c>
      <c r="K57" s="5">
        <v>14613</v>
      </c>
      <c r="L57" s="5">
        <v>305002</v>
      </c>
      <c r="M57" s="5">
        <v>318638</v>
      </c>
      <c r="N57" s="5">
        <v>287734</v>
      </c>
      <c r="O57" s="5">
        <v>272967</v>
      </c>
      <c r="P57" s="5">
        <f>5919564+83760+69884+305002+240000</f>
        <v>6618210</v>
      </c>
      <c r="Q57" s="5">
        <f>6650615+66013+318638+240000</f>
        <v>7275266</v>
      </c>
      <c r="R57" s="41" t="s">
        <v>115</v>
      </c>
      <c r="S57" s="41" t="s">
        <v>115</v>
      </c>
      <c r="T57" s="5">
        <f>156372+25905-17081</f>
        <v>165196</v>
      </c>
      <c r="U57" s="5">
        <f>287660+19740-85718</f>
        <v>221682</v>
      </c>
      <c r="V57" s="41" t="s">
        <v>115</v>
      </c>
      <c r="W57" s="41" t="s">
        <v>115</v>
      </c>
      <c r="X57" s="5"/>
      <c r="Y57" s="5"/>
      <c r="Z57" s="5"/>
      <c r="AA57" s="5"/>
      <c r="AB57" s="5">
        <v>1769924</v>
      </c>
      <c r="AC57" s="5">
        <v>1780868</v>
      </c>
      <c r="AD57" s="5">
        <v>1947135</v>
      </c>
      <c r="AE57" s="5">
        <v>4597123</v>
      </c>
      <c r="AF57" s="5">
        <f>135074+5787</f>
        <v>140861</v>
      </c>
      <c r="AG57" s="5">
        <f>193034+2450</f>
        <v>195484</v>
      </c>
      <c r="AH57" s="5">
        <f>580+3508</f>
        <v>4088</v>
      </c>
      <c r="AI57" s="5">
        <f>9864+1472+10834</f>
        <v>22170</v>
      </c>
      <c r="AJ57" s="39">
        <v>1997</v>
      </c>
      <c r="AK57" s="39">
        <f t="shared" si="0"/>
        <v>24</v>
      </c>
      <c r="AL57" s="39">
        <v>1</v>
      </c>
      <c r="AM57" s="39">
        <v>1</v>
      </c>
      <c r="AN57" s="39" t="s">
        <v>185</v>
      </c>
    </row>
    <row r="58" spans="1:40" ht="45" x14ac:dyDescent="0.25">
      <c r="A58" s="4" t="s">
        <v>187</v>
      </c>
      <c r="B58" s="17" t="s">
        <v>186</v>
      </c>
      <c r="C58" s="8" t="s">
        <v>188</v>
      </c>
      <c r="D58" s="5">
        <f>118664000+393000</f>
        <v>119057000</v>
      </c>
      <c r="E58" s="5">
        <f>138739000+699000</f>
        <v>139438000</v>
      </c>
      <c r="F58" s="5">
        <f>154762000+1261000</f>
        <v>156023000</v>
      </c>
      <c r="G58" s="5">
        <f>159706000+929000</f>
        <v>160635000</v>
      </c>
      <c r="H58" s="5">
        <v>393000</v>
      </c>
      <c r="I58" s="5">
        <v>699000</v>
      </c>
      <c r="J58" s="5">
        <v>1261000</v>
      </c>
      <c r="K58" s="5">
        <v>929000</v>
      </c>
      <c r="L58" s="5">
        <v>2120000</v>
      </c>
      <c r="M58" s="5">
        <v>2077000</v>
      </c>
      <c r="N58" s="5">
        <v>9150000</v>
      </c>
      <c r="O58" s="5">
        <v>1152000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v>125430000</v>
      </c>
      <c r="AC58" s="5">
        <v>139088000</v>
      </c>
      <c r="AD58" s="5">
        <v>154140000</v>
      </c>
      <c r="AE58" s="5">
        <v>172942000</v>
      </c>
      <c r="AF58" s="5">
        <v>71943000</v>
      </c>
      <c r="AG58" s="5">
        <v>71596000</v>
      </c>
      <c r="AH58" s="5">
        <f>78760000-151000</f>
        <v>78609000</v>
      </c>
      <c r="AI58" s="5">
        <f>73238000-111000</f>
        <v>73127000</v>
      </c>
      <c r="AJ58" s="39">
        <v>1991</v>
      </c>
      <c r="AK58" s="39">
        <f t="shared" si="0"/>
        <v>30</v>
      </c>
      <c r="AL58" s="39">
        <v>3</v>
      </c>
      <c r="AM58" s="39">
        <v>1</v>
      </c>
      <c r="AN58" s="39" t="s">
        <v>5</v>
      </c>
    </row>
    <row r="59" spans="1:40" ht="30" x14ac:dyDescent="0.25">
      <c r="A59" s="4" t="s">
        <v>190</v>
      </c>
      <c r="B59" s="17" t="s">
        <v>189</v>
      </c>
      <c r="C59" s="8" t="s">
        <v>191</v>
      </c>
      <c r="D59" s="5">
        <f>81282000+963000</f>
        <v>82245000</v>
      </c>
      <c r="E59" s="5">
        <f>49498000+174000</f>
        <v>49672000</v>
      </c>
      <c r="F59" s="5">
        <f>63008000+1756000</f>
        <v>64764000</v>
      </c>
      <c r="G59" s="5">
        <f>64413000</f>
        <v>64413000</v>
      </c>
      <c r="H59" s="5">
        <v>963000</v>
      </c>
      <c r="I59" s="5">
        <v>174000</v>
      </c>
      <c r="J59" s="5">
        <v>992000</v>
      </c>
      <c r="K59" s="5">
        <v>0</v>
      </c>
      <c r="L59" s="41" t="s">
        <v>115</v>
      </c>
      <c r="M59" s="41" t="s">
        <v>115</v>
      </c>
      <c r="N59" s="5">
        <v>212000</v>
      </c>
      <c r="O59" s="5">
        <v>171000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>
        <v>23089000</v>
      </c>
      <c r="AC59" s="5">
        <v>27838000</v>
      </c>
      <c r="AD59" s="5">
        <v>46712000</v>
      </c>
      <c r="AE59" s="5">
        <v>44153000</v>
      </c>
      <c r="AF59" s="5">
        <v>2062000</v>
      </c>
      <c r="AG59" s="5">
        <v>2737000</v>
      </c>
      <c r="AH59" s="5">
        <v>2628000</v>
      </c>
      <c r="AI59" s="5">
        <v>1845000</v>
      </c>
      <c r="AJ59" s="39">
        <v>1996</v>
      </c>
      <c r="AK59" s="39">
        <f t="shared" si="0"/>
        <v>25</v>
      </c>
      <c r="AL59" s="39">
        <v>4</v>
      </c>
      <c r="AM59" s="39">
        <v>1</v>
      </c>
      <c r="AN59" s="39" t="s">
        <v>192</v>
      </c>
    </row>
    <row r="60" spans="1:40" s="15" customFormat="1" ht="60" x14ac:dyDescent="0.25">
      <c r="A60" s="11" t="s">
        <v>194</v>
      </c>
      <c r="B60" s="12" t="s">
        <v>193</v>
      </c>
      <c r="C60" s="16" t="s">
        <v>341</v>
      </c>
      <c r="D60" s="14">
        <f>306865.19+6213.31+14125.76</f>
        <v>327204.26</v>
      </c>
      <c r="E60" s="14">
        <f>185477.39+911.63+1089.24</f>
        <v>187478.26</v>
      </c>
      <c r="F60" s="14">
        <f>204.52+60005.19</f>
        <v>60209.71</v>
      </c>
      <c r="G60" s="14">
        <f>77082.58+0.31</f>
        <v>77082.89</v>
      </c>
      <c r="H60" s="14">
        <f>6213.31-1789.26</f>
        <v>4424.05</v>
      </c>
      <c r="I60" s="14">
        <v>0</v>
      </c>
      <c r="J60" s="14">
        <v>0</v>
      </c>
      <c r="K60" s="14">
        <v>0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>
        <v>149056.70000000001</v>
      </c>
      <c r="AC60" s="14">
        <v>180709.98</v>
      </c>
      <c r="AD60" s="14">
        <f>172179.73</f>
        <v>172179.73</v>
      </c>
      <c r="AE60" s="14">
        <v>124178.1</v>
      </c>
      <c r="AF60" s="14">
        <v>78946.31</v>
      </c>
      <c r="AG60" s="14">
        <v>150489.57999999999</v>
      </c>
      <c r="AH60" s="14">
        <v>148444.82</v>
      </c>
      <c r="AI60" s="14">
        <v>35513.29</v>
      </c>
      <c r="AJ60" s="44">
        <v>1985</v>
      </c>
      <c r="AK60" s="44">
        <f t="shared" si="0"/>
        <v>36</v>
      </c>
      <c r="AL60" s="44">
        <v>3</v>
      </c>
      <c r="AM60" s="44">
        <v>2</v>
      </c>
      <c r="AN60" s="44" t="s">
        <v>195</v>
      </c>
    </row>
    <row r="61" spans="1:40" s="15" customFormat="1" ht="45" x14ac:dyDescent="0.25">
      <c r="A61" s="11" t="s">
        <v>197</v>
      </c>
      <c r="B61" s="12" t="s">
        <v>196</v>
      </c>
      <c r="C61" s="16" t="s">
        <v>198</v>
      </c>
      <c r="D61" s="14">
        <f>7309695+379981+2744902</f>
        <v>10434578</v>
      </c>
      <c r="E61" s="14">
        <f>9131200</f>
        <v>9131200</v>
      </c>
      <c r="F61" s="14">
        <f>10519166</f>
        <v>10519166</v>
      </c>
      <c r="G61" s="14">
        <v>10192469</v>
      </c>
      <c r="H61" s="14">
        <f>73745-24677</f>
        <v>49068</v>
      </c>
      <c r="I61" s="14">
        <f>54178-49697</f>
        <v>4481</v>
      </c>
      <c r="J61" s="14">
        <f>69676-33980</f>
        <v>35696</v>
      </c>
      <c r="K61" s="14">
        <v>0</v>
      </c>
      <c r="L61" s="14">
        <v>379981</v>
      </c>
      <c r="M61" s="14">
        <v>318380</v>
      </c>
      <c r="N61" s="14">
        <v>341980</v>
      </c>
      <c r="O61" s="14">
        <v>80021</v>
      </c>
      <c r="P61" s="14">
        <v>7689676</v>
      </c>
      <c r="Q61" s="14">
        <v>7039364</v>
      </c>
      <c r="R61" s="14">
        <v>7971142</v>
      </c>
      <c r="S61" s="14">
        <v>7245338</v>
      </c>
      <c r="T61" s="14">
        <f>2744902-24677</f>
        <v>2720225</v>
      </c>
      <c r="U61" s="14">
        <f>2091835--49697</f>
        <v>2141532</v>
      </c>
      <c r="V61" s="14">
        <f>2548025-33980</f>
        <v>2514045</v>
      </c>
      <c r="W61" s="14">
        <v>2947132</v>
      </c>
      <c r="X61" s="14"/>
      <c r="Y61" s="14"/>
      <c r="Z61" s="14"/>
      <c r="AA61" s="14"/>
      <c r="AB61" s="14">
        <v>12971479</v>
      </c>
      <c r="AC61" s="14">
        <v>12428688</v>
      </c>
      <c r="AD61" s="14">
        <v>17223240</v>
      </c>
      <c r="AE61" s="14">
        <v>23442436</v>
      </c>
      <c r="AF61" s="14">
        <f>4099031+22565</f>
        <v>4121596</v>
      </c>
      <c r="AG61" s="14">
        <f>3868485-21777</f>
        <v>3846708</v>
      </c>
      <c r="AH61" s="14">
        <f>5582240+12990</f>
        <v>5595230</v>
      </c>
      <c r="AI61" s="14">
        <f>5756394+12435</f>
        <v>5768829</v>
      </c>
      <c r="AJ61" s="44">
        <v>1998</v>
      </c>
      <c r="AK61" s="44">
        <f t="shared" si="0"/>
        <v>23</v>
      </c>
      <c r="AL61" s="44">
        <v>2</v>
      </c>
      <c r="AM61" s="44">
        <v>2</v>
      </c>
      <c r="AN61" s="44" t="s">
        <v>5</v>
      </c>
    </row>
    <row r="62" spans="1:40" s="34" customFormat="1" ht="30" x14ac:dyDescent="0.25">
      <c r="A62" s="30" t="s">
        <v>381</v>
      </c>
      <c r="B62" s="31" t="s">
        <v>199</v>
      </c>
      <c r="C62" s="32" t="s">
        <v>200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9"/>
      <c r="AK62" s="39">
        <f t="shared" si="0"/>
        <v>2021</v>
      </c>
      <c r="AL62" s="39"/>
      <c r="AM62" s="39"/>
      <c r="AN62" s="39"/>
    </row>
    <row r="63" spans="1:40" s="15" customFormat="1" ht="45" x14ac:dyDescent="0.25">
      <c r="A63" s="11" t="s">
        <v>382</v>
      </c>
      <c r="B63" s="12" t="s">
        <v>201</v>
      </c>
      <c r="C63" s="16" t="s">
        <v>203</v>
      </c>
      <c r="D63" s="14">
        <f>18277336</f>
        <v>18277336</v>
      </c>
      <c r="E63" s="14">
        <f>17629526</f>
        <v>17629526</v>
      </c>
      <c r="F63" s="14">
        <f>26016396</f>
        <v>26016396</v>
      </c>
      <c r="G63" s="14">
        <f>46373460</f>
        <v>46373460</v>
      </c>
      <c r="H63" s="14">
        <v>0</v>
      </c>
      <c r="I63" s="14">
        <v>0</v>
      </c>
      <c r="J63" s="14">
        <v>0</v>
      </c>
      <c r="K63" s="14">
        <v>276470</v>
      </c>
      <c r="L63" s="14">
        <v>460072</v>
      </c>
      <c r="M63" s="14">
        <v>501861</v>
      </c>
      <c r="N63" s="14">
        <v>480574</v>
      </c>
      <c r="O63" s="14">
        <v>581700</v>
      </c>
      <c r="P63" s="14">
        <f>5499498</f>
        <v>5499498</v>
      </c>
      <c r="Q63" s="14">
        <v>5292921</v>
      </c>
      <c r="R63" s="14">
        <f>5278625</f>
        <v>5278625</v>
      </c>
      <c r="S63" s="14">
        <v>3531207</v>
      </c>
      <c r="T63" s="14">
        <f>12777838-172943</f>
        <v>12604895</v>
      </c>
      <c r="U63" s="14">
        <f>12336605-273664</f>
        <v>12062941</v>
      </c>
      <c r="V63" s="14">
        <f>20737771-61226</f>
        <v>20676545</v>
      </c>
      <c r="W63" s="14">
        <f>544841+42842253</f>
        <v>43387094</v>
      </c>
      <c r="X63" s="14"/>
      <c r="Y63" s="14"/>
      <c r="Z63" s="14"/>
      <c r="AA63" s="14"/>
      <c r="AB63" s="14">
        <v>9295334</v>
      </c>
      <c r="AC63" s="14">
        <v>12341290</v>
      </c>
      <c r="AD63" s="14">
        <v>18117949</v>
      </c>
      <c r="AE63" s="14">
        <v>43136492</v>
      </c>
      <c r="AF63" s="14">
        <v>3982720</v>
      </c>
      <c r="AG63" s="14">
        <v>3900203</v>
      </c>
      <c r="AH63" s="14">
        <f>3446915+376688+2910</f>
        <v>3826513</v>
      </c>
      <c r="AI63" s="14">
        <f>3635502+321210+29120</f>
        <v>3985832</v>
      </c>
      <c r="AJ63" s="44">
        <v>1946</v>
      </c>
      <c r="AK63" s="44">
        <f t="shared" si="0"/>
        <v>75</v>
      </c>
      <c r="AL63" s="44">
        <v>1</v>
      </c>
      <c r="AM63" s="44">
        <v>2</v>
      </c>
      <c r="AN63" s="44" t="s">
        <v>5</v>
      </c>
    </row>
    <row r="64" spans="1:40" ht="45" x14ac:dyDescent="0.25">
      <c r="A64" s="4" t="s">
        <v>205</v>
      </c>
      <c r="B64" s="17" t="s">
        <v>204</v>
      </c>
      <c r="C64" s="8" t="s">
        <v>206</v>
      </c>
      <c r="D64" s="5">
        <f>29225000+425000</f>
        <v>29650000</v>
      </c>
      <c r="E64" s="5">
        <f>30960000+32000+233000</f>
        <v>31225000</v>
      </c>
      <c r="F64" s="5">
        <f>30659000+85000+374000</f>
        <v>31118000</v>
      </c>
      <c r="G64" s="5">
        <f>28857000+112000+218000</f>
        <v>29187000</v>
      </c>
      <c r="H64" s="5">
        <v>425000</v>
      </c>
      <c r="I64" s="5">
        <v>233000</v>
      </c>
      <c r="J64" s="5">
        <v>374000</v>
      </c>
      <c r="K64" s="5">
        <v>218000</v>
      </c>
      <c r="L64" s="5">
        <v>2122000</v>
      </c>
      <c r="M64" s="5">
        <v>405000</v>
      </c>
      <c r="N64" s="5">
        <v>508000</v>
      </c>
      <c r="O64" s="5">
        <v>492000</v>
      </c>
      <c r="P64" s="5">
        <f>D64-5000000</f>
        <v>24650000</v>
      </c>
      <c r="Q64" s="5">
        <f>E64-3750000</f>
        <v>27475000</v>
      </c>
      <c r="R64" s="5">
        <f>F64-2500000-223000</f>
        <v>28395000</v>
      </c>
      <c r="S64" s="5">
        <f>G64-2250000</f>
        <v>26937000</v>
      </c>
      <c r="T64" s="5">
        <f>H64+5000000</f>
        <v>5425000</v>
      </c>
      <c r="U64" s="5">
        <f>I64+3750000</f>
        <v>3983000</v>
      </c>
      <c r="V64" s="5">
        <f>2500000+J64</f>
        <v>2874000</v>
      </c>
      <c r="W64" s="5">
        <f>2250000+K64</f>
        <v>2468000</v>
      </c>
      <c r="X64" s="5"/>
      <c r="Y64" s="5"/>
      <c r="Z64" s="5"/>
      <c r="AA64" s="5"/>
      <c r="AB64" s="5">
        <f>104025000</f>
        <v>104025000</v>
      </c>
      <c r="AC64" s="5">
        <v>106680000</v>
      </c>
      <c r="AD64" s="5">
        <v>101239000</v>
      </c>
      <c r="AE64" s="5">
        <v>98944000</v>
      </c>
      <c r="AF64" s="5">
        <v>6075000</v>
      </c>
      <c r="AG64" s="5">
        <v>7631000</v>
      </c>
      <c r="AH64" s="5">
        <v>7670000</v>
      </c>
      <c r="AI64" s="5">
        <v>7404000</v>
      </c>
      <c r="AJ64" s="39">
        <v>2008</v>
      </c>
      <c r="AK64" s="39">
        <f t="shared" si="0"/>
        <v>13</v>
      </c>
      <c r="AL64" s="39">
        <v>4</v>
      </c>
      <c r="AM64" s="39">
        <v>2</v>
      </c>
      <c r="AN64" s="39" t="s">
        <v>147</v>
      </c>
    </row>
    <row r="65" spans="1:40" ht="45" x14ac:dyDescent="0.25">
      <c r="A65" s="4" t="s">
        <v>208</v>
      </c>
      <c r="B65" s="17" t="s">
        <v>207</v>
      </c>
      <c r="C65" s="8" t="s">
        <v>209</v>
      </c>
      <c r="D65" s="5">
        <f>30397021</f>
        <v>30397021</v>
      </c>
      <c r="E65" s="5">
        <f>31881810</f>
        <v>31881810</v>
      </c>
      <c r="F65" s="5">
        <f>29045622</f>
        <v>29045622</v>
      </c>
      <c r="G65" s="5">
        <f>30813824</f>
        <v>30813824</v>
      </c>
      <c r="H65" s="5">
        <f>2288006-451698</f>
        <v>1836308</v>
      </c>
      <c r="I65" s="5">
        <f>1427552-468025</f>
        <v>959527</v>
      </c>
      <c r="J65" s="5">
        <f>1484383-501833</f>
        <v>982550</v>
      </c>
      <c r="K65" s="5">
        <f>677743-574260</f>
        <v>103483</v>
      </c>
      <c r="L65" s="5">
        <v>658743</v>
      </c>
      <c r="M65" s="5">
        <v>449270</v>
      </c>
      <c r="N65" s="5">
        <v>684038</v>
      </c>
      <c r="O65" s="5">
        <v>668591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>
        <v>43475338</v>
      </c>
      <c r="AC65" s="5">
        <v>46586058</v>
      </c>
      <c r="AD65" s="5">
        <v>49134176</v>
      </c>
      <c r="AE65" s="5">
        <v>57195177</v>
      </c>
      <c r="AF65" s="5">
        <f>304555+51002</f>
        <v>355557</v>
      </c>
      <c r="AG65" s="5">
        <f>232380+48948</f>
        <v>281328</v>
      </c>
      <c r="AH65" s="5">
        <v>199281</v>
      </c>
      <c r="AI65" s="5">
        <v>207785</v>
      </c>
      <c r="AJ65" s="39">
        <v>1990</v>
      </c>
      <c r="AK65" s="39">
        <f t="shared" si="0"/>
        <v>31</v>
      </c>
      <c r="AL65" s="39">
        <v>1</v>
      </c>
      <c r="AM65" s="39">
        <v>2</v>
      </c>
      <c r="AN65" s="39" t="s">
        <v>5</v>
      </c>
    </row>
    <row r="66" spans="1:40" s="22" customFormat="1" ht="62.45" customHeight="1" x14ac:dyDescent="0.25">
      <c r="A66" s="18" t="s">
        <v>211</v>
      </c>
      <c r="B66" s="19" t="s">
        <v>210</v>
      </c>
      <c r="C66" s="20" t="s">
        <v>215</v>
      </c>
      <c r="D66" s="21">
        <f>324571.16-1820.74</f>
        <v>322750.42</v>
      </c>
      <c r="E66" s="21">
        <f>336691.47+8965.23</f>
        <v>345656.69999999995</v>
      </c>
      <c r="F66" s="21">
        <f>465178.09+7216.47</f>
        <v>472394.56</v>
      </c>
      <c r="G66" s="41" t="s">
        <v>115</v>
      </c>
      <c r="H66" s="21">
        <v>0</v>
      </c>
      <c r="I66" s="21">
        <v>0</v>
      </c>
      <c r="J66" s="21">
        <v>0</v>
      </c>
      <c r="K66" s="41" t="s">
        <v>115</v>
      </c>
      <c r="L66" s="21">
        <v>80520</v>
      </c>
      <c r="M66" s="21">
        <v>63800</v>
      </c>
      <c r="N66" s="21">
        <v>89320</v>
      </c>
      <c r="O66" s="41" t="s">
        <v>115</v>
      </c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>
        <v>43257.16</v>
      </c>
      <c r="AC66" s="21">
        <v>66440.19</v>
      </c>
      <c r="AD66" s="21">
        <v>94156.59</v>
      </c>
      <c r="AE66" s="41" t="s">
        <v>115</v>
      </c>
      <c r="AF66" s="21">
        <v>34798.160000000003</v>
      </c>
      <c r="AG66" s="21">
        <v>50385.85</v>
      </c>
      <c r="AH66" s="21">
        <v>71131.929999999993</v>
      </c>
      <c r="AI66" s="41" t="s">
        <v>115</v>
      </c>
      <c r="AJ66" s="39">
        <v>2009</v>
      </c>
      <c r="AK66" s="39">
        <f t="shared" si="0"/>
        <v>12</v>
      </c>
      <c r="AL66" s="39">
        <v>1</v>
      </c>
      <c r="AM66" s="39">
        <v>1</v>
      </c>
      <c r="AN66" s="39" t="s">
        <v>212</v>
      </c>
    </row>
    <row r="67" spans="1:40" s="22" customFormat="1" ht="45" x14ac:dyDescent="0.25">
      <c r="A67" s="18" t="s">
        <v>214</v>
      </c>
      <c r="B67" s="19" t="s">
        <v>213</v>
      </c>
      <c r="C67" s="20" t="s">
        <v>335</v>
      </c>
      <c r="D67" s="21">
        <f>128000+774000+477000+2441000+251000+4886000</f>
        <v>8957000</v>
      </c>
      <c r="E67" s="21">
        <f>796000+482000+1200000+7000+213000+6799000</f>
        <v>9497000</v>
      </c>
      <c r="F67" s="21">
        <f>676000+388000+1001000+18000+225000+126000+7010000</f>
        <v>9444000</v>
      </c>
      <c r="G67" s="41" t="s">
        <v>115</v>
      </c>
      <c r="H67" s="21">
        <v>251000</v>
      </c>
      <c r="I67" s="21">
        <v>213000</v>
      </c>
      <c r="J67" s="21">
        <v>225000</v>
      </c>
      <c r="K67" s="41" t="s">
        <v>115</v>
      </c>
      <c r="L67" s="41" t="s">
        <v>115</v>
      </c>
      <c r="M67" s="21">
        <v>7000</v>
      </c>
      <c r="N67" s="21">
        <v>18000</v>
      </c>
      <c r="O67" s="41" t="s">
        <v>115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>
        <v>9580000</v>
      </c>
      <c r="AC67" s="21">
        <v>10758000</v>
      </c>
      <c r="AD67" s="21">
        <v>9876000</v>
      </c>
      <c r="AE67" s="41" t="s">
        <v>115</v>
      </c>
      <c r="AF67" s="21">
        <f>211000+43000</f>
        <v>254000</v>
      </c>
      <c r="AG67" s="21">
        <f>230000+32000</f>
        <v>262000</v>
      </c>
      <c r="AH67" s="21">
        <f>242000+18000</f>
        <v>260000</v>
      </c>
      <c r="AI67" s="41" t="s">
        <v>115</v>
      </c>
      <c r="AJ67" s="39">
        <v>1991</v>
      </c>
      <c r="AK67" s="39">
        <f t="shared" si="0"/>
        <v>30</v>
      </c>
      <c r="AL67" s="39">
        <v>2</v>
      </c>
      <c r="AM67" s="39">
        <v>1</v>
      </c>
      <c r="AN67" s="39" t="s">
        <v>5</v>
      </c>
    </row>
    <row r="68" spans="1:40" ht="45" x14ac:dyDescent="0.25">
      <c r="A68" s="4" t="s">
        <v>217</v>
      </c>
      <c r="B68" s="17" t="s">
        <v>216</v>
      </c>
      <c r="C68" s="8" t="s">
        <v>209</v>
      </c>
      <c r="D68" s="5">
        <f>23631000+706000+84000+11000+111000+64000</f>
        <v>24607000</v>
      </c>
      <c r="E68" s="5">
        <f>23716000+723000+82000+34000+183000</f>
        <v>24738000</v>
      </c>
      <c r="F68" s="5">
        <f>26542000+824000+377000+67000+129000+1270000+14000</f>
        <v>29223000</v>
      </c>
      <c r="G68" s="5">
        <f>32750000+850000+677000+28000+114000</f>
        <v>34419000</v>
      </c>
      <c r="H68" s="5">
        <f>0</f>
        <v>0</v>
      </c>
      <c r="I68" s="5">
        <v>0</v>
      </c>
      <c r="J68" s="5">
        <v>0</v>
      </c>
      <c r="K68" s="5">
        <v>0</v>
      </c>
      <c r="L68" s="5">
        <v>36000</v>
      </c>
      <c r="M68" s="5">
        <v>50000</v>
      </c>
      <c r="N68" s="5">
        <v>39000</v>
      </c>
      <c r="O68" s="5">
        <v>18000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>
        <v>5664000</v>
      </c>
      <c r="AC68" s="5">
        <v>6284000</v>
      </c>
      <c r="AD68" s="5">
        <v>5765000</v>
      </c>
      <c r="AE68" s="5">
        <v>6241000</v>
      </c>
      <c r="AF68" s="5">
        <v>4313000</v>
      </c>
      <c r="AG68" s="5">
        <v>4095000</v>
      </c>
      <c r="AH68" s="5">
        <v>3957000</v>
      </c>
      <c r="AI68" s="5">
        <v>4649000</v>
      </c>
      <c r="AJ68" s="39">
        <v>1966</v>
      </c>
      <c r="AK68" s="39">
        <f t="shared" ref="AK68:AK101" si="1">2021-AJ68</f>
        <v>55</v>
      </c>
      <c r="AL68" s="39">
        <v>1</v>
      </c>
      <c r="AM68" s="39">
        <v>1</v>
      </c>
      <c r="AN68" s="39" t="s">
        <v>17</v>
      </c>
    </row>
    <row r="69" spans="1:40" s="34" customFormat="1" ht="45" x14ac:dyDescent="0.25">
      <c r="A69" s="30" t="s">
        <v>219</v>
      </c>
      <c r="B69" s="31" t="s">
        <v>218</v>
      </c>
      <c r="C69" s="32" t="s">
        <v>220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9"/>
      <c r="AK69" s="39">
        <f t="shared" si="1"/>
        <v>2021</v>
      </c>
      <c r="AL69" s="39"/>
      <c r="AM69" s="39"/>
      <c r="AN69" s="39"/>
    </row>
    <row r="70" spans="1:40" ht="45" x14ac:dyDescent="0.25">
      <c r="A70" s="4" t="s">
        <v>222</v>
      </c>
      <c r="B70" s="17" t="s">
        <v>221</v>
      </c>
      <c r="C70" s="8" t="s">
        <v>342</v>
      </c>
      <c r="D70" s="5">
        <f>5498620+328566+45458</f>
        <v>5872644</v>
      </c>
      <c r="E70" s="5">
        <f>5743779+87553</f>
        <v>5831332</v>
      </c>
      <c r="F70" s="5">
        <f>6719473+126290+11962</f>
        <v>6857725</v>
      </c>
      <c r="G70" s="5">
        <f>7154913+107652+15427</f>
        <v>7277992</v>
      </c>
      <c r="H70" s="5">
        <v>45458</v>
      </c>
      <c r="I70" s="5">
        <v>0</v>
      </c>
      <c r="J70" s="5">
        <v>11962</v>
      </c>
      <c r="K70" s="5">
        <v>15427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>
        <f>8542680</f>
        <v>8542680</v>
      </c>
      <c r="AC70" s="5">
        <v>8096927</v>
      </c>
      <c r="AD70" s="5">
        <v>8963517</v>
      </c>
      <c r="AE70" s="5">
        <v>9317459</v>
      </c>
      <c r="AF70" s="5">
        <v>7597199</v>
      </c>
      <c r="AG70" s="5">
        <v>7235350</v>
      </c>
      <c r="AH70" s="5">
        <v>7245942</v>
      </c>
      <c r="AI70" s="5">
        <v>7391653</v>
      </c>
      <c r="AJ70" s="39">
        <v>1989</v>
      </c>
      <c r="AK70" s="39">
        <f t="shared" si="1"/>
        <v>32</v>
      </c>
      <c r="AL70" s="39">
        <v>3</v>
      </c>
      <c r="AM70" s="39">
        <v>1</v>
      </c>
      <c r="AN70" s="39" t="s">
        <v>223</v>
      </c>
    </row>
    <row r="71" spans="1:40" s="15" customFormat="1" ht="60" x14ac:dyDescent="0.25">
      <c r="A71" s="11" t="s">
        <v>225</v>
      </c>
      <c r="B71" s="12" t="s">
        <v>224</v>
      </c>
      <c r="C71" s="16" t="s">
        <v>228</v>
      </c>
      <c r="D71" s="14">
        <f>15317000+337000</f>
        <v>15654000</v>
      </c>
      <c r="E71" s="14">
        <f>8808000+284000</f>
        <v>9092000</v>
      </c>
      <c r="F71" s="14">
        <f>10463000+263000</f>
        <v>10726000</v>
      </c>
      <c r="G71" s="14">
        <f>7482000+134000</f>
        <v>7616000</v>
      </c>
      <c r="H71" s="14">
        <v>337000</v>
      </c>
      <c r="I71" s="14">
        <v>284000</v>
      </c>
      <c r="J71" s="14">
        <v>263000</v>
      </c>
      <c r="K71" s="14">
        <v>72000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>
        <v>7508000</v>
      </c>
      <c r="AC71" s="14">
        <v>7055000</v>
      </c>
      <c r="AD71" s="14">
        <v>5099000</v>
      </c>
      <c r="AE71" s="14">
        <v>3046000</v>
      </c>
      <c r="AF71" s="14">
        <v>150000</v>
      </c>
      <c r="AG71" s="14">
        <v>139000</v>
      </c>
      <c r="AH71" s="14">
        <v>125000</v>
      </c>
      <c r="AI71" s="14">
        <v>56000</v>
      </c>
      <c r="AJ71" s="44">
        <v>2008</v>
      </c>
      <c r="AK71" s="44">
        <f t="shared" si="1"/>
        <v>13</v>
      </c>
      <c r="AL71" s="44">
        <v>5</v>
      </c>
      <c r="AM71" s="44">
        <v>1</v>
      </c>
      <c r="AN71" s="44" t="s">
        <v>5</v>
      </c>
    </row>
    <row r="72" spans="1:40" s="15" customFormat="1" ht="45" x14ac:dyDescent="0.25">
      <c r="A72" s="11" t="s">
        <v>227</v>
      </c>
      <c r="B72" s="12" t="s">
        <v>226</v>
      </c>
      <c r="C72" s="16" t="s">
        <v>229</v>
      </c>
      <c r="D72" s="14">
        <f>22062057</f>
        <v>22062057</v>
      </c>
      <c r="E72" s="14">
        <f>23966053</f>
        <v>23966053</v>
      </c>
      <c r="F72" s="14">
        <f>25051779</f>
        <v>25051779</v>
      </c>
      <c r="G72" s="14">
        <f>23940633</f>
        <v>23940633</v>
      </c>
      <c r="H72" s="14">
        <v>0</v>
      </c>
      <c r="I72" s="14">
        <v>0</v>
      </c>
      <c r="J72" s="14">
        <v>0</v>
      </c>
      <c r="K72" s="14">
        <v>0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>
        <v>5547681</v>
      </c>
      <c r="AC72" s="14">
        <v>8240220</v>
      </c>
      <c r="AD72" s="14">
        <v>5572782</v>
      </c>
      <c r="AE72" s="14">
        <v>6539467</v>
      </c>
      <c r="AF72" s="14">
        <v>2690277</v>
      </c>
      <c r="AG72" s="14">
        <v>2738598</v>
      </c>
      <c r="AH72" s="14">
        <v>2607428</v>
      </c>
      <c r="AI72" s="14">
        <v>30255</v>
      </c>
      <c r="AJ72" s="39">
        <v>1987</v>
      </c>
      <c r="AK72" s="39">
        <f t="shared" si="1"/>
        <v>34</v>
      </c>
      <c r="AL72" s="39">
        <v>1</v>
      </c>
      <c r="AM72" s="39">
        <v>1</v>
      </c>
      <c r="AN72" s="39" t="s">
        <v>5</v>
      </c>
    </row>
    <row r="73" spans="1:40" s="22" customFormat="1" ht="75" x14ac:dyDescent="0.25">
      <c r="A73" s="18" t="s">
        <v>231</v>
      </c>
      <c r="B73" s="19" t="s">
        <v>230</v>
      </c>
      <c r="C73" s="20" t="s">
        <v>235</v>
      </c>
      <c r="D73" s="41" t="s">
        <v>115</v>
      </c>
      <c r="E73" s="21">
        <f>450360.22+2834.3-4704.12</f>
        <v>448490.39999999997</v>
      </c>
      <c r="F73" s="21">
        <f>302803.28+281.85-2853.68</f>
        <v>300231.45</v>
      </c>
      <c r="G73" s="21">
        <f>241384+330.07-1721.11</f>
        <v>239992.96000000002</v>
      </c>
      <c r="H73" s="41" t="s">
        <v>115</v>
      </c>
      <c r="I73" s="21">
        <v>0</v>
      </c>
      <c r="J73" s="21">
        <v>0</v>
      </c>
      <c r="K73" s="21">
        <v>0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41" t="s">
        <v>115</v>
      </c>
      <c r="AC73" s="21">
        <v>10763.48</v>
      </c>
      <c r="AD73" s="21">
        <v>16072.59</v>
      </c>
      <c r="AE73" s="21">
        <v>36706.449999999997</v>
      </c>
      <c r="AF73" s="41" t="s">
        <v>115</v>
      </c>
      <c r="AG73" s="21">
        <v>756.28</v>
      </c>
      <c r="AH73" s="21">
        <v>0</v>
      </c>
      <c r="AI73" s="21">
        <v>0</v>
      </c>
      <c r="AJ73" s="39">
        <v>1994</v>
      </c>
      <c r="AK73" s="39">
        <f t="shared" si="1"/>
        <v>27</v>
      </c>
      <c r="AL73" s="39">
        <v>1</v>
      </c>
      <c r="AM73" s="39">
        <v>1</v>
      </c>
      <c r="AN73" s="39" t="s">
        <v>51</v>
      </c>
    </row>
    <row r="74" spans="1:40" s="15" customFormat="1" ht="45" x14ac:dyDescent="0.25">
      <c r="A74" s="11" t="s">
        <v>233</v>
      </c>
      <c r="B74" s="12" t="s">
        <v>232</v>
      </c>
      <c r="C74" s="16" t="s">
        <v>234</v>
      </c>
      <c r="D74" s="14">
        <v>8957357.7899999991</v>
      </c>
      <c r="E74" s="14">
        <v>8380595.3200000003</v>
      </c>
      <c r="F74" s="14">
        <f>9234650.82-47895.71</f>
        <v>9186755.1099999994</v>
      </c>
      <c r="G74" s="14">
        <f>10746594.01-13970.64</f>
        <v>10732623.369999999</v>
      </c>
      <c r="H74" s="14">
        <v>0</v>
      </c>
      <c r="I74" s="14">
        <f>58603.18+40530.6</f>
        <v>99133.78</v>
      </c>
      <c r="J74" s="14">
        <f>0</f>
        <v>0</v>
      </c>
      <c r="K74" s="14">
        <f>20273.99-13970.64</f>
        <v>6303.3500000000022</v>
      </c>
      <c r="L74" s="14">
        <v>691580</v>
      </c>
      <c r="M74" s="14">
        <v>136290</v>
      </c>
      <c r="N74" s="14">
        <v>422415</v>
      </c>
      <c r="O74" s="14">
        <v>46955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>
        <v>6341772.8399999999</v>
      </c>
      <c r="AC74" s="14">
        <v>5539437.21</v>
      </c>
      <c r="AD74" s="14">
        <v>14791401.27</v>
      </c>
      <c r="AE74" s="14">
        <v>13494962.52</v>
      </c>
      <c r="AF74" s="14">
        <v>4428141.42</v>
      </c>
      <c r="AG74" s="14">
        <v>4299575.01</v>
      </c>
      <c r="AH74" s="14">
        <v>4055152.47</v>
      </c>
      <c r="AI74" s="14">
        <v>3808739.89</v>
      </c>
      <c r="AJ74" s="44">
        <v>1994</v>
      </c>
      <c r="AK74" s="44">
        <f t="shared" si="1"/>
        <v>27</v>
      </c>
      <c r="AL74" s="44">
        <v>1</v>
      </c>
      <c r="AM74" s="44">
        <v>1</v>
      </c>
      <c r="AN74" s="44" t="s">
        <v>5</v>
      </c>
    </row>
    <row r="75" spans="1:40" ht="45" x14ac:dyDescent="0.25">
      <c r="A75" s="4" t="s">
        <v>237</v>
      </c>
      <c r="B75" s="17" t="s">
        <v>236</v>
      </c>
      <c r="C75" s="8" t="s">
        <v>238</v>
      </c>
      <c r="D75" s="5">
        <f>4500636+105345</f>
        <v>4605981</v>
      </c>
      <c r="E75" s="5">
        <f>5210397+196242</f>
        <v>5406639</v>
      </c>
      <c r="F75" s="5">
        <f>6115569+9309+4406</f>
        <v>6129284</v>
      </c>
      <c r="G75" s="5">
        <f>5670772+35242+65000</f>
        <v>5771014</v>
      </c>
      <c r="H75" s="5">
        <v>0</v>
      </c>
      <c r="I75" s="5">
        <v>0</v>
      </c>
      <c r="J75" s="5">
        <v>0</v>
      </c>
      <c r="K75" s="5">
        <v>0</v>
      </c>
      <c r="L75" s="5"/>
      <c r="M75" s="5"/>
      <c r="N75" s="5"/>
      <c r="O75" s="5"/>
      <c r="P75" s="5">
        <f>131698</f>
        <v>131698</v>
      </c>
      <c r="Q75" s="5">
        <v>408948</v>
      </c>
      <c r="R75" s="5">
        <v>246962</v>
      </c>
      <c r="S75" s="5">
        <v>221326</v>
      </c>
      <c r="T75" s="5">
        <f>4368938+105345</f>
        <v>4474283</v>
      </c>
      <c r="U75" s="5">
        <f>4801448+196242</f>
        <v>4997690</v>
      </c>
      <c r="V75" s="5">
        <f>5868607+9309+4406</f>
        <v>5882322</v>
      </c>
      <c r="W75" s="5">
        <f>5449445+35242+65000</f>
        <v>5549687</v>
      </c>
      <c r="X75" s="5"/>
      <c r="Y75" s="5"/>
      <c r="Z75" s="5"/>
      <c r="AA75" s="5"/>
      <c r="AB75" s="5">
        <v>5220855</v>
      </c>
      <c r="AC75" s="5">
        <v>5515419</v>
      </c>
      <c r="AD75" s="5">
        <v>6566937</v>
      </c>
      <c r="AE75" s="5">
        <v>8501527</v>
      </c>
      <c r="AF75" s="5">
        <f>4323779+22649+1125</f>
        <v>4347553</v>
      </c>
      <c r="AG75" s="5">
        <f>3975871+22313+1125</f>
        <v>3999309</v>
      </c>
      <c r="AH75" s="5">
        <f>4490402+31888+2849</f>
        <v>4525139</v>
      </c>
      <c r="AI75" s="5">
        <f>4476057+22287+2849</f>
        <v>4501193</v>
      </c>
      <c r="AJ75" s="39">
        <v>1995</v>
      </c>
      <c r="AK75" s="39">
        <f t="shared" si="1"/>
        <v>26</v>
      </c>
      <c r="AL75" s="39">
        <v>3</v>
      </c>
      <c r="AM75" s="39">
        <v>1</v>
      </c>
      <c r="AN75" s="39" t="s">
        <v>239</v>
      </c>
    </row>
    <row r="76" spans="1:40" s="34" customFormat="1" ht="60" x14ac:dyDescent="0.25">
      <c r="A76" s="30" t="s">
        <v>241</v>
      </c>
      <c r="B76" s="31" t="s">
        <v>240</v>
      </c>
      <c r="C76" s="32" t="s">
        <v>242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9"/>
      <c r="AK76" s="39">
        <f t="shared" si="1"/>
        <v>2021</v>
      </c>
      <c r="AL76" s="39"/>
      <c r="AM76" s="39"/>
      <c r="AN76" s="39"/>
    </row>
    <row r="77" spans="1:40" ht="60" x14ac:dyDescent="0.25">
      <c r="A77" s="4" t="s">
        <v>244</v>
      </c>
      <c r="B77" s="17" t="s">
        <v>243</v>
      </c>
      <c r="C77" s="8" t="s">
        <v>246</v>
      </c>
      <c r="D77" s="5">
        <f>6872147.5+195123.98+711758.77</f>
        <v>7779030.25</v>
      </c>
      <c r="E77" s="5">
        <f>7252806.66+72778.71+27107.42</f>
        <v>7352692.79</v>
      </c>
      <c r="F77" s="5">
        <f>8092102.62+87210.64</f>
        <v>8179313.2599999998</v>
      </c>
      <c r="G77" s="5">
        <f>40593.94+10016185.57</f>
        <v>10056779.51</v>
      </c>
      <c r="H77" s="5">
        <v>195123.98</v>
      </c>
      <c r="I77" s="5">
        <v>72778.710000000006</v>
      </c>
      <c r="J77" s="5">
        <v>87210.64</v>
      </c>
      <c r="K77" s="5">
        <v>40593.94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>
        <v>8494070.8900000006</v>
      </c>
      <c r="AC77" s="5">
        <v>8669950.9199999999</v>
      </c>
      <c r="AD77" s="5">
        <v>9641486.6699999999</v>
      </c>
      <c r="AE77" s="5">
        <v>15441235.380000001</v>
      </c>
      <c r="AF77" s="5">
        <v>4663725.99</v>
      </c>
      <c r="AG77" s="5">
        <v>4851828.62</v>
      </c>
      <c r="AH77" s="5">
        <v>4597107.42</v>
      </c>
      <c r="AI77" s="5">
        <v>7288334.29</v>
      </c>
      <c r="AJ77" s="39">
        <v>1949</v>
      </c>
      <c r="AK77" s="39">
        <f t="shared" si="1"/>
        <v>72</v>
      </c>
      <c r="AL77" s="39">
        <v>1</v>
      </c>
      <c r="AM77" s="39">
        <v>1</v>
      </c>
      <c r="AN77" s="39" t="s">
        <v>245</v>
      </c>
    </row>
    <row r="78" spans="1:40" ht="30" x14ac:dyDescent="0.25">
      <c r="A78" s="4" t="s">
        <v>248</v>
      </c>
      <c r="B78" s="17" t="s">
        <v>247</v>
      </c>
      <c r="C78" s="8" t="s">
        <v>249</v>
      </c>
      <c r="D78" s="5">
        <f>1037171+750595+641230+7882+20662</f>
        <v>2457540</v>
      </c>
      <c r="E78" s="5">
        <f>2441803+745071+1368977+33869+44306</f>
        <v>4634026</v>
      </c>
      <c r="F78" s="5">
        <f>2310770+2271602+1296627+3026+147779</f>
        <v>6029804</v>
      </c>
      <c r="G78" s="5">
        <f>1666983+2592705+1113597+1716+50689</f>
        <v>5425690</v>
      </c>
      <c r="H78" s="5">
        <v>20662</v>
      </c>
      <c r="I78" s="5">
        <v>44306</v>
      </c>
      <c r="J78" s="5">
        <v>147779</v>
      </c>
      <c r="K78" s="5">
        <v>50689</v>
      </c>
      <c r="L78" s="5">
        <v>405862</v>
      </c>
      <c r="M78" s="5">
        <v>875010</v>
      </c>
      <c r="N78" s="5">
        <v>364570</v>
      </c>
      <c r="O78" s="5">
        <v>504617</v>
      </c>
      <c r="P78" s="5">
        <v>1037171</v>
      </c>
      <c r="Q78" s="5">
        <v>2441803</v>
      </c>
      <c r="R78" s="5">
        <v>2310770</v>
      </c>
      <c r="S78" s="5">
        <v>1666983</v>
      </c>
      <c r="T78" s="5">
        <f>750595+641230+7882+20662</f>
        <v>1420369</v>
      </c>
      <c r="U78" s="5">
        <f>745071+1368977+33869+44306</f>
        <v>2192223</v>
      </c>
      <c r="V78" s="5">
        <f>2271602+1296627+3026+147779</f>
        <v>3719034</v>
      </c>
      <c r="W78" s="5">
        <f>2592705+1113597+1716+50689</f>
        <v>3758707</v>
      </c>
      <c r="X78" s="5"/>
      <c r="Y78" s="5"/>
      <c r="Z78" s="5"/>
      <c r="AA78" s="5"/>
      <c r="AB78" s="5">
        <v>2915463</v>
      </c>
      <c r="AC78" s="5">
        <v>4202238</v>
      </c>
      <c r="AD78" s="5">
        <v>6245789</v>
      </c>
      <c r="AE78" s="5">
        <v>9145461</v>
      </c>
      <c r="AF78" s="5">
        <v>15129</v>
      </c>
      <c r="AG78" s="5">
        <v>32386</v>
      </c>
      <c r="AH78" s="5">
        <v>19244</v>
      </c>
      <c r="AI78" s="5">
        <v>30656</v>
      </c>
      <c r="AJ78" s="39">
        <v>2001</v>
      </c>
      <c r="AK78" s="39">
        <f t="shared" si="1"/>
        <v>20</v>
      </c>
      <c r="AL78" s="39">
        <v>2</v>
      </c>
      <c r="AM78" s="39">
        <v>1</v>
      </c>
      <c r="AN78" s="39" t="s">
        <v>5</v>
      </c>
    </row>
    <row r="79" spans="1:40" ht="45" x14ac:dyDescent="0.25">
      <c r="A79" s="4" t="s">
        <v>251</v>
      </c>
      <c r="B79" s="17" t="s">
        <v>250</v>
      </c>
      <c r="C79" s="8" t="s">
        <v>252</v>
      </c>
      <c r="D79" s="5">
        <f>6633793</f>
        <v>6633793</v>
      </c>
      <c r="E79" s="5">
        <f>2899630</f>
        <v>2899630</v>
      </c>
      <c r="F79" s="5">
        <f>2348390.87</f>
        <v>2348390.87</v>
      </c>
      <c r="G79" s="5">
        <f>4904944.52</f>
        <v>4904944.5199999996</v>
      </c>
      <c r="H79" s="5">
        <v>0</v>
      </c>
      <c r="I79" s="5">
        <v>0</v>
      </c>
      <c r="J79" s="5">
        <v>0</v>
      </c>
      <c r="K79" s="5">
        <v>0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>
        <v>5985908</v>
      </c>
      <c r="AC79" s="5">
        <v>4700260</v>
      </c>
      <c r="AD79" s="5">
        <v>5772559.3700000001</v>
      </c>
      <c r="AE79" s="5">
        <v>8359087.5599999996</v>
      </c>
      <c r="AF79" s="5">
        <v>3253908</v>
      </c>
      <c r="AG79" s="5">
        <v>3992968</v>
      </c>
      <c r="AH79" s="5">
        <f>721643.3+3932023.89-1011472.84+291.7</f>
        <v>3642486.0500000007</v>
      </c>
      <c r="AI79" s="5">
        <f>761103.95+1932946.33-1243626.21+6274.25</f>
        <v>1456698.3200000003</v>
      </c>
      <c r="AJ79" s="39">
        <v>1988</v>
      </c>
      <c r="AK79" s="39">
        <f t="shared" si="1"/>
        <v>33</v>
      </c>
      <c r="AL79" s="39">
        <v>4</v>
      </c>
      <c r="AM79" s="39">
        <v>1</v>
      </c>
      <c r="AN79" s="39" t="s">
        <v>253</v>
      </c>
    </row>
    <row r="80" spans="1:40" ht="45" x14ac:dyDescent="0.25">
      <c r="A80" s="4" t="s">
        <v>255</v>
      </c>
      <c r="B80" s="17" t="s">
        <v>254</v>
      </c>
      <c r="C80" s="8" t="s">
        <v>256</v>
      </c>
      <c r="D80" s="5">
        <f>14063573.91+92903.24</f>
        <v>14156477.15</v>
      </c>
      <c r="E80" s="5">
        <f>13496617.38+3965355.29+114774.25</f>
        <v>17576746.920000002</v>
      </c>
      <c r="F80" s="5">
        <f>14542452.09+906755.73</f>
        <v>15449207.82</v>
      </c>
      <c r="G80" s="5">
        <f>11372840.54+632675.55</f>
        <v>12005516.09</v>
      </c>
      <c r="H80" s="5">
        <v>92903.24</v>
      </c>
      <c r="I80" s="5">
        <v>114774.25</v>
      </c>
      <c r="J80" s="5">
        <v>906755.73</v>
      </c>
      <c r="K80" s="5">
        <v>632675.55000000005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>
        <v>18411571.010000002</v>
      </c>
      <c r="AC80" s="5">
        <v>22593773.629999999</v>
      </c>
      <c r="AD80" s="5">
        <v>23323582.41</v>
      </c>
      <c r="AE80" s="5">
        <v>32594391.41</v>
      </c>
      <c r="AF80" s="5">
        <f>15446041.13+3776.06</f>
        <v>15449817.190000001</v>
      </c>
      <c r="AG80" s="5">
        <f>11750000.4+4088617.37+2399.41</f>
        <v>15841017.18</v>
      </c>
      <c r="AH80" s="5">
        <f>15724719.38+3804012.6+1800</f>
        <v>19530531.98</v>
      </c>
      <c r="AI80" s="5">
        <f>24906878.97+3535077.18+0</f>
        <v>28441956.149999999</v>
      </c>
      <c r="AJ80" s="39">
        <v>1942</v>
      </c>
      <c r="AK80" s="39">
        <f t="shared" si="1"/>
        <v>79</v>
      </c>
      <c r="AL80" s="39">
        <v>1</v>
      </c>
      <c r="AM80" s="39">
        <v>1</v>
      </c>
      <c r="AN80" s="39" t="s">
        <v>5</v>
      </c>
    </row>
    <row r="81" spans="1:40" ht="45" x14ac:dyDescent="0.25">
      <c r="A81" s="4" t="s">
        <v>258</v>
      </c>
      <c r="B81" s="17" t="s">
        <v>257</v>
      </c>
      <c r="C81" s="8" t="s">
        <v>259</v>
      </c>
      <c r="D81" s="5">
        <v>11942958</v>
      </c>
      <c r="E81" s="5">
        <v>14266344</v>
      </c>
      <c r="F81" s="5">
        <v>16427062</v>
      </c>
      <c r="G81" s="5">
        <v>11685911</v>
      </c>
      <c r="H81" s="5">
        <v>698469</v>
      </c>
      <c r="I81" s="5">
        <v>521514</v>
      </c>
      <c r="J81" s="5">
        <v>465918</v>
      </c>
      <c r="K81" s="5">
        <v>332638</v>
      </c>
      <c r="L81" s="5">
        <v>37176</v>
      </c>
      <c r="M81" s="5">
        <v>633205</v>
      </c>
      <c r="N81" s="5">
        <v>533253</v>
      </c>
      <c r="O81" s="5">
        <v>115206</v>
      </c>
      <c r="P81" s="5">
        <v>6632229</v>
      </c>
      <c r="Q81" s="5">
        <v>7310497</v>
      </c>
      <c r="R81" s="5">
        <v>8611225</v>
      </c>
      <c r="S81" s="5">
        <v>3511117</v>
      </c>
      <c r="T81" s="5">
        <f>11942958-6632229</f>
        <v>5310729</v>
      </c>
      <c r="U81" s="5">
        <f>14266344-7310497</f>
        <v>6955847</v>
      </c>
      <c r="V81" s="5">
        <f>16427062-8611225</f>
        <v>7815837</v>
      </c>
      <c r="W81" s="5">
        <v>8174794</v>
      </c>
      <c r="X81" s="5"/>
      <c r="Y81" s="5"/>
      <c r="Z81" s="5"/>
      <c r="AA81" s="5"/>
      <c r="AB81" s="5">
        <v>27969087</v>
      </c>
      <c r="AC81" s="5">
        <v>30387820</v>
      </c>
      <c r="AD81" s="5">
        <v>30492956</v>
      </c>
      <c r="AE81" s="5">
        <v>33246002</v>
      </c>
      <c r="AF81" s="5">
        <f>27969087-18000356</f>
        <v>9968731</v>
      </c>
      <c r="AG81" s="5">
        <v>10211098</v>
      </c>
      <c r="AH81" s="5">
        <v>11927242</v>
      </c>
      <c r="AI81" s="5">
        <v>11374757</v>
      </c>
      <c r="AJ81" s="39">
        <v>1998</v>
      </c>
      <c r="AK81" s="39">
        <f t="shared" si="1"/>
        <v>23</v>
      </c>
      <c r="AL81" s="39">
        <v>3</v>
      </c>
      <c r="AM81" s="39">
        <v>1</v>
      </c>
      <c r="AN81" s="39" t="s">
        <v>5</v>
      </c>
    </row>
    <row r="82" spans="1:40" ht="45" x14ac:dyDescent="0.25">
      <c r="A82" s="4" t="s">
        <v>261</v>
      </c>
      <c r="B82" s="17" t="s">
        <v>260</v>
      </c>
      <c r="C82" s="8" t="s">
        <v>262</v>
      </c>
      <c r="D82" s="5">
        <f>10046091+27891+303242</f>
        <v>10377224</v>
      </c>
      <c r="E82" s="5">
        <f>10055370+10115+221252</f>
        <v>10286737</v>
      </c>
      <c r="F82" s="5">
        <f>9852209+293518+202675</f>
        <v>10348402</v>
      </c>
      <c r="G82" s="5">
        <f>8949978+52321+89636</f>
        <v>9091935</v>
      </c>
      <c r="H82" s="5">
        <f>303242-52198</f>
        <v>251044</v>
      </c>
      <c r="I82" s="5">
        <f>221252-33936</f>
        <v>187316</v>
      </c>
      <c r="J82" s="5">
        <f>202675-34675</f>
        <v>168000</v>
      </c>
      <c r="K82" s="5">
        <f>89636-34561</f>
        <v>55075</v>
      </c>
      <c r="L82" s="5">
        <v>510860</v>
      </c>
      <c r="M82" s="5">
        <v>527197</v>
      </c>
      <c r="N82" s="5">
        <v>569440</v>
      </c>
      <c r="O82" s="5">
        <v>604776</v>
      </c>
      <c r="P82" s="5">
        <v>2182052</v>
      </c>
      <c r="Q82" s="5">
        <v>1932655</v>
      </c>
      <c r="R82" s="5">
        <v>983000</v>
      </c>
      <c r="S82" s="5">
        <v>1247489</v>
      </c>
      <c r="T82" s="5">
        <f>7864039+27891+303242</f>
        <v>8195172</v>
      </c>
      <c r="U82" s="5">
        <f>8122715+10115+221252</f>
        <v>8354082</v>
      </c>
      <c r="V82" s="5">
        <f>8869209+293518+202675</f>
        <v>9365402</v>
      </c>
      <c r="W82" s="5">
        <f>7702489+52321+89636</f>
        <v>7844446</v>
      </c>
      <c r="X82" s="5"/>
      <c r="Y82" s="5"/>
      <c r="Z82" s="5"/>
      <c r="AA82" s="5"/>
      <c r="AB82" s="5">
        <v>20828285</v>
      </c>
      <c r="AC82" s="5">
        <v>17975368</v>
      </c>
      <c r="AD82" s="5">
        <v>17628349</v>
      </c>
      <c r="AE82" s="5">
        <v>13838990</v>
      </c>
      <c r="AF82" s="5">
        <v>11600530</v>
      </c>
      <c r="AG82" s="5">
        <v>11384435</v>
      </c>
      <c r="AH82" s="5">
        <v>11233116</v>
      </c>
      <c r="AI82" s="5">
        <v>7684933</v>
      </c>
      <c r="AJ82" s="39">
        <v>1964</v>
      </c>
      <c r="AK82" s="39">
        <f t="shared" si="1"/>
        <v>57</v>
      </c>
      <c r="AL82" s="39">
        <v>3</v>
      </c>
      <c r="AM82" s="39">
        <v>1</v>
      </c>
      <c r="AN82" s="39" t="s">
        <v>17</v>
      </c>
    </row>
    <row r="83" spans="1:40" ht="45" x14ac:dyDescent="0.25">
      <c r="A83" s="4" t="s">
        <v>264</v>
      </c>
      <c r="B83" s="17" t="s">
        <v>263</v>
      </c>
      <c r="C83" s="8" t="s">
        <v>265</v>
      </c>
      <c r="D83" s="5">
        <v>6695786</v>
      </c>
      <c r="E83" s="5">
        <v>6108141</v>
      </c>
      <c r="F83" s="5">
        <v>6388905</v>
      </c>
      <c r="G83" s="5">
        <v>11444676</v>
      </c>
      <c r="H83" s="5">
        <v>81990</v>
      </c>
      <c r="I83" s="5">
        <v>28230</v>
      </c>
      <c r="J83" s="5">
        <v>65361</v>
      </c>
      <c r="K83" s="5">
        <v>24905</v>
      </c>
      <c r="L83" s="5"/>
      <c r="M83" s="5"/>
      <c r="N83" s="5"/>
      <c r="O83" s="5"/>
      <c r="P83" s="41" t="s">
        <v>115</v>
      </c>
      <c r="Q83" s="41" t="s">
        <v>115</v>
      </c>
      <c r="R83" s="5">
        <v>3860440</v>
      </c>
      <c r="S83" s="5">
        <v>7262150</v>
      </c>
      <c r="T83" s="41" t="s">
        <v>115</v>
      </c>
      <c r="U83" s="41" t="s">
        <v>115</v>
      </c>
      <c r="V83" s="5">
        <v>2528465</v>
      </c>
      <c r="W83" s="5">
        <v>4182526</v>
      </c>
      <c r="X83" s="5"/>
      <c r="Y83" s="5"/>
      <c r="Z83" s="5"/>
      <c r="AA83" s="5"/>
      <c r="AB83" s="5">
        <v>4078634</v>
      </c>
      <c r="AC83" s="5">
        <v>4142525</v>
      </c>
      <c r="AD83" s="5">
        <v>5627256</v>
      </c>
      <c r="AE83" s="5">
        <v>12684419</v>
      </c>
      <c r="AF83" s="5">
        <v>472855</v>
      </c>
      <c r="AG83" s="5">
        <v>395374</v>
      </c>
      <c r="AH83" s="5">
        <v>327983</v>
      </c>
      <c r="AI83" s="5">
        <v>832882</v>
      </c>
      <c r="AJ83" s="39">
        <v>2000</v>
      </c>
      <c r="AK83" s="39">
        <f t="shared" si="1"/>
        <v>21</v>
      </c>
      <c r="AL83" s="39">
        <v>2</v>
      </c>
      <c r="AM83" s="39">
        <v>1</v>
      </c>
      <c r="AN83" s="39" t="s">
        <v>35</v>
      </c>
    </row>
    <row r="84" spans="1:40" s="34" customFormat="1" ht="45" x14ac:dyDescent="0.25">
      <c r="A84" s="30" t="s">
        <v>268</v>
      </c>
      <c r="B84" s="31" t="s">
        <v>266</v>
      </c>
      <c r="C84" s="32" t="s">
        <v>267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9"/>
      <c r="AK84" s="39">
        <f t="shared" si="1"/>
        <v>2021</v>
      </c>
      <c r="AL84" s="39"/>
      <c r="AM84" s="39"/>
      <c r="AN84" s="39"/>
    </row>
    <row r="85" spans="1:40" s="15" customFormat="1" ht="75" x14ac:dyDescent="0.25">
      <c r="A85" s="11" t="s">
        <v>270</v>
      </c>
      <c r="B85" s="12" t="s">
        <v>269</v>
      </c>
      <c r="C85" s="20" t="s">
        <v>271</v>
      </c>
      <c r="D85" s="14">
        <f>1367145+33008</f>
        <v>1400153</v>
      </c>
      <c r="E85" s="14">
        <f>1347909+4811</f>
        <v>1352720</v>
      </c>
      <c r="F85" s="14">
        <f>1490854+5463</f>
        <v>1496317</v>
      </c>
      <c r="G85" s="14">
        <f>2144018+11759</f>
        <v>2155777</v>
      </c>
      <c r="H85" s="14">
        <v>23993</v>
      </c>
      <c r="I85" s="14">
        <v>0</v>
      </c>
      <c r="J85" s="14">
        <v>0</v>
      </c>
      <c r="K85" s="14">
        <v>0</v>
      </c>
      <c r="L85" s="14">
        <v>130536</v>
      </c>
      <c r="M85" s="14">
        <v>153373</v>
      </c>
      <c r="N85" s="14">
        <v>234484</v>
      </c>
      <c r="O85" s="14">
        <v>201104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>
        <v>604502</v>
      </c>
      <c r="AC85" s="14">
        <v>699374</v>
      </c>
      <c r="AD85" s="14">
        <v>738882</v>
      </c>
      <c r="AE85" s="14">
        <v>1693789</v>
      </c>
      <c r="AF85" s="14">
        <v>208612</v>
      </c>
      <c r="AG85" s="14">
        <v>197810</v>
      </c>
      <c r="AH85" s="14">
        <f>207417+1579</f>
        <v>208996</v>
      </c>
      <c r="AI85" s="14">
        <f>105887+1579</f>
        <v>107466</v>
      </c>
      <c r="AJ85" s="39">
        <v>1999</v>
      </c>
      <c r="AK85" s="39">
        <f t="shared" si="1"/>
        <v>22</v>
      </c>
      <c r="AL85" s="39">
        <v>3</v>
      </c>
      <c r="AM85" s="39">
        <v>1</v>
      </c>
      <c r="AN85" s="39" t="s">
        <v>5</v>
      </c>
    </row>
    <row r="86" spans="1:40" s="15" customFormat="1" ht="72.599999999999994" customHeight="1" x14ac:dyDescent="0.25">
      <c r="A86" s="11" t="s">
        <v>274</v>
      </c>
      <c r="B86" s="12" t="s">
        <v>272</v>
      </c>
      <c r="C86" s="20" t="s">
        <v>275</v>
      </c>
      <c r="D86" s="14">
        <f>25921151+64744+3</f>
        <v>25985898</v>
      </c>
      <c r="E86" s="14">
        <f>27008852+111114+77764</f>
        <v>27197730</v>
      </c>
      <c r="F86" s="14">
        <f>5257258+8153609</f>
        <v>13410867</v>
      </c>
      <c r="G86" s="14">
        <f>10464409</f>
        <v>10464409</v>
      </c>
      <c r="H86" s="14">
        <v>0</v>
      </c>
      <c r="I86" s="14">
        <v>0</v>
      </c>
      <c r="J86" s="14">
        <v>0</v>
      </c>
      <c r="K86" s="14">
        <v>0</v>
      </c>
      <c r="L86" s="14">
        <v>94830</v>
      </c>
      <c r="M86" s="14">
        <v>81030</v>
      </c>
      <c r="N86" s="14">
        <v>125610</v>
      </c>
      <c r="O86" s="41" t="s">
        <v>115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>
        <v>1786997</v>
      </c>
      <c r="AC86" s="14">
        <v>2500456</v>
      </c>
      <c r="AD86" s="14">
        <v>3932460</v>
      </c>
      <c r="AE86" s="14">
        <v>7484776</v>
      </c>
      <c r="AF86" s="14">
        <f>119472+350</f>
        <v>119822</v>
      </c>
      <c r="AG86" s="14">
        <f>98619+350</f>
        <v>98969</v>
      </c>
      <c r="AH86" s="14">
        <f>102091+350</f>
        <v>102441</v>
      </c>
      <c r="AI86" s="14">
        <v>107496</v>
      </c>
      <c r="AJ86" s="39">
        <v>1992</v>
      </c>
      <c r="AK86" s="39">
        <f t="shared" si="1"/>
        <v>29</v>
      </c>
      <c r="AL86" s="39">
        <v>6</v>
      </c>
      <c r="AM86" s="39">
        <v>1</v>
      </c>
      <c r="AN86" s="39" t="s">
        <v>273</v>
      </c>
    </row>
    <row r="87" spans="1:40" s="34" customFormat="1" ht="45" x14ac:dyDescent="0.25">
      <c r="A87" s="30" t="s">
        <v>277</v>
      </c>
      <c r="B87" s="31" t="s">
        <v>276</v>
      </c>
      <c r="C87" s="32" t="s">
        <v>95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9">
        <v>2004</v>
      </c>
      <c r="AK87" s="39">
        <f t="shared" si="1"/>
        <v>17</v>
      </c>
      <c r="AL87" s="39">
        <v>2</v>
      </c>
      <c r="AM87" s="39">
        <v>1</v>
      </c>
      <c r="AN87" s="39" t="s">
        <v>278</v>
      </c>
    </row>
    <row r="88" spans="1:40" ht="60" x14ac:dyDescent="0.25">
      <c r="A88" s="4" t="s">
        <v>281</v>
      </c>
      <c r="B88" s="17" t="s">
        <v>279</v>
      </c>
      <c r="C88" s="20" t="s">
        <v>280</v>
      </c>
      <c r="D88" s="5">
        <f>21248671.21+8423232.8+2559.07+136056.45</f>
        <v>29810519.530000001</v>
      </c>
      <c r="E88" s="5">
        <f>20918822.33+9691801.95+555947.46+96311.63</f>
        <v>31262883.369999997</v>
      </c>
      <c r="F88" s="5">
        <f>23714267.53+9691801.95+1694326.84+77001.84</f>
        <v>35177398.160000004</v>
      </c>
      <c r="G88" s="5">
        <f>26926398.13+12061764.9+704464.12+20695.99</f>
        <v>39713323.140000001</v>
      </c>
      <c r="H88" s="5">
        <f>42002.04-130579.92+16188.98-0+2559.07-2576.4+107675.11-2260.59</f>
        <v>33008.290000000008</v>
      </c>
      <c r="I88" s="5">
        <v>0</v>
      </c>
      <c r="J88" s="5">
        <f>36188.24-0-52997.51+30563.71-2250.84+23906.64-1060.85+37256.17-4619.42</f>
        <v>66986.14</v>
      </c>
      <c r="K88" s="5">
        <f>52173.48-2814.98-28628.19+40422.15-3173.21+8767.75-1154.2+15895.95-2540.01</f>
        <v>78948.740000000005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>
        <f>19707596.21+15434496.2+400786.76+887215.97</f>
        <v>36430095.139999993</v>
      </c>
      <c r="AC88" s="5">
        <f>21590232.1+17027041.12+746379.25+899621.74</f>
        <v>40263274.210000001</v>
      </c>
      <c r="AD88" s="5">
        <f>23641045.22+18810384.02+1603259.61+907674.69</f>
        <v>44962363.539999992</v>
      </c>
      <c r="AE88" s="5">
        <f>31465719.35+20923943.05+1576606.81+873424.97</f>
        <v>54839694.180000007</v>
      </c>
      <c r="AF88" s="5">
        <f>7029590.28+10396849.2+358165.98+0</f>
        <v>17784605.460000001</v>
      </c>
      <c r="AG88" s="5">
        <f>7271720.46+10905738.34+371397.98+0</f>
        <v>18548856.780000001</v>
      </c>
      <c r="AH88" s="5">
        <f>7202348.75+10768820.54+447855.76+0</f>
        <v>18419025.050000001</v>
      </c>
      <c r="AI88" s="5">
        <f>8097745.54+10915364.67+438935.71+0</f>
        <v>19452045.920000002</v>
      </c>
      <c r="AJ88" s="39">
        <v>1976</v>
      </c>
      <c r="AK88" s="39">
        <f t="shared" si="1"/>
        <v>45</v>
      </c>
      <c r="AL88" s="39">
        <v>1</v>
      </c>
      <c r="AM88" s="39">
        <v>1</v>
      </c>
      <c r="AN88" s="39" t="s">
        <v>17</v>
      </c>
    </row>
    <row r="89" spans="1:40" s="34" customFormat="1" ht="45" x14ac:dyDescent="0.25">
      <c r="A89" s="30" t="s">
        <v>283</v>
      </c>
      <c r="B89" s="31" t="s">
        <v>282</v>
      </c>
      <c r="C89" s="32" t="s">
        <v>284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9"/>
      <c r="AK89" s="39">
        <f t="shared" si="1"/>
        <v>2021</v>
      </c>
      <c r="AL89" s="39"/>
      <c r="AM89" s="39"/>
      <c r="AN89" s="39"/>
    </row>
    <row r="90" spans="1:40" s="22" customFormat="1" ht="45" x14ac:dyDescent="0.25">
      <c r="A90" s="18" t="s">
        <v>286</v>
      </c>
      <c r="B90" s="19" t="s">
        <v>285</v>
      </c>
      <c r="C90" s="20" t="s">
        <v>287</v>
      </c>
      <c r="D90" s="21">
        <v>4338475.53</v>
      </c>
      <c r="E90" s="21">
        <v>6412942.1399999997</v>
      </c>
      <c r="F90" s="21">
        <v>8582937.4299999997</v>
      </c>
      <c r="G90" s="41" t="s">
        <v>115</v>
      </c>
      <c r="H90" s="21">
        <f>367226.05-16142.75</f>
        <v>351083.3</v>
      </c>
      <c r="I90" s="21">
        <f>270734.37-26043.41</f>
        <v>244690.96</v>
      </c>
      <c r="J90" s="21">
        <f>325011.96-10935.56</f>
        <v>314076.40000000002</v>
      </c>
      <c r="K90" s="41" t="s">
        <v>115</v>
      </c>
      <c r="L90" s="21">
        <v>34488.080000000002</v>
      </c>
      <c r="M90" s="21">
        <v>35323.800000000003</v>
      </c>
      <c r="N90" s="21">
        <v>41796.589999999997</v>
      </c>
      <c r="O90" s="41" t="s">
        <v>115</v>
      </c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>
        <v>5673694.1100000003</v>
      </c>
      <c r="AC90" s="21">
        <v>5954915.7699999996</v>
      </c>
      <c r="AD90" s="21">
        <v>13714240.77</v>
      </c>
      <c r="AE90" s="41" t="s">
        <v>115</v>
      </c>
      <c r="AF90" s="21">
        <v>6782.14</v>
      </c>
      <c r="AG90" s="21">
        <v>3675.94</v>
      </c>
      <c r="AH90" s="21">
        <v>3604.6</v>
      </c>
      <c r="AI90" s="41" t="s">
        <v>115</v>
      </c>
      <c r="AJ90" s="39">
        <v>2001</v>
      </c>
      <c r="AK90" s="39">
        <f t="shared" si="1"/>
        <v>20</v>
      </c>
      <c r="AL90" s="39">
        <v>5</v>
      </c>
      <c r="AM90" s="39">
        <v>1</v>
      </c>
      <c r="AN90" s="39" t="s">
        <v>35</v>
      </c>
    </row>
    <row r="91" spans="1:40" ht="75" x14ac:dyDescent="0.25">
      <c r="A91" s="4" t="s">
        <v>289</v>
      </c>
      <c r="B91" s="17" t="s">
        <v>288</v>
      </c>
      <c r="C91" s="8" t="s">
        <v>290</v>
      </c>
      <c r="D91" s="5">
        <f>7999146</f>
        <v>7999146</v>
      </c>
      <c r="E91" s="5">
        <f>9178877+81928</f>
        <v>9260805</v>
      </c>
      <c r="F91" s="5">
        <f>8171288.96</f>
        <v>8171288.96</v>
      </c>
      <c r="G91" s="5">
        <v>8514181.2400000002</v>
      </c>
      <c r="H91" s="5">
        <v>0</v>
      </c>
      <c r="I91" s="5">
        <v>81928</v>
      </c>
      <c r="J91" s="5">
        <f>205733.06-20698.16</f>
        <v>185034.9</v>
      </c>
      <c r="K91" s="5">
        <f>29447.51-19359.63</f>
        <v>10087.879999999997</v>
      </c>
      <c r="L91" s="5">
        <v>260705</v>
      </c>
      <c r="M91" s="5">
        <v>300465</v>
      </c>
      <c r="N91" s="5" t="s">
        <v>115</v>
      </c>
      <c r="O91" s="41" t="s">
        <v>115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>
        <v>3828137</v>
      </c>
      <c r="AC91" s="5">
        <v>5599328</v>
      </c>
      <c r="AD91" s="5">
        <v>3816722.45</v>
      </c>
      <c r="AE91" s="5">
        <v>4633519.68</v>
      </c>
      <c r="AF91" s="5">
        <v>553594</v>
      </c>
      <c r="AG91" s="5">
        <v>472041</v>
      </c>
      <c r="AH91" s="5">
        <v>351671.01</v>
      </c>
      <c r="AI91" s="5">
        <v>431857.03</v>
      </c>
      <c r="AJ91" s="39">
        <v>2002</v>
      </c>
      <c r="AK91" s="39">
        <f t="shared" si="1"/>
        <v>19</v>
      </c>
      <c r="AL91" s="39">
        <v>3</v>
      </c>
      <c r="AM91" s="39">
        <v>1</v>
      </c>
      <c r="AN91" s="39" t="s">
        <v>5</v>
      </c>
    </row>
    <row r="92" spans="1:40" s="34" customFormat="1" ht="60" x14ac:dyDescent="0.25">
      <c r="A92" s="30" t="s">
        <v>292</v>
      </c>
      <c r="B92" s="31" t="s">
        <v>291</v>
      </c>
      <c r="C92" s="32" t="s">
        <v>293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9"/>
      <c r="AK92" s="39">
        <f t="shared" si="1"/>
        <v>2021</v>
      </c>
      <c r="AL92" s="39"/>
      <c r="AM92" s="39"/>
      <c r="AN92" s="39"/>
    </row>
    <row r="93" spans="1:40" ht="45" x14ac:dyDescent="0.25">
      <c r="A93" s="4" t="s">
        <v>295</v>
      </c>
      <c r="B93" s="17" t="s">
        <v>294</v>
      </c>
      <c r="C93" s="8" t="s">
        <v>296</v>
      </c>
      <c r="D93" s="5">
        <f>18431929.71</f>
        <v>18431929.710000001</v>
      </c>
      <c r="E93" s="5">
        <v>19205708.149999999</v>
      </c>
      <c r="F93" s="5">
        <v>27337875.350000001</v>
      </c>
      <c r="G93" s="5">
        <v>21102528.09</v>
      </c>
      <c r="H93" s="5">
        <f>58754.22-45904.56</f>
        <v>12849.660000000003</v>
      </c>
      <c r="I93" s="5">
        <f>77574.23-20419.75</f>
        <v>57154.479999999996</v>
      </c>
      <c r="J93" s="5">
        <f>50027.96-44490.02</f>
        <v>5537.9400000000023</v>
      </c>
      <c r="K93" s="5">
        <v>0</v>
      </c>
      <c r="L93" s="5">
        <v>261871.28</v>
      </c>
      <c r="M93" s="5">
        <v>296830.99</v>
      </c>
      <c r="N93" s="5">
        <v>341797.96</v>
      </c>
      <c r="O93" s="5">
        <v>79430.36</v>
      </c>
      <c r="P93" s="5">
        <f>2540129.55+5103621.63+896458.49</f>
        <v>8540209.6699999999</v>
      </c>
      <c r="Q93" s="5">
        <f>2715818.49+5191601.66+770407.02</f>
        <v>8677827.1699999999</v>
      </c>
      <c r="R93" s="5">
        <f>2614330.24+5218852.54+8473647.36</f>
        <v>16306830.140000001</v>
      </c>
      <c r="S93" s="5">
        <f>2541939.97+3639469.34+3919183.26</f>
        <v>10100592.57</v>
      </c>
      <c r="T93" s="5">
        <f>67860.31+884.8+6869820.57+2953154.36</f>
        <v>9891720.040000001</v>
      </c>
      <c r="U93" s="5">
        <f>102055.39+13932.19+7155224.29+3256669.11</f>
        <v>10527880.98</v>
      </c>
      <c r="V93" s="5">
        <f>16981.48+121388.36+7415420.01+3477255.36</f>
        <v>11031045.209999999</v>
      </c>
      <c r="W93" s="5">
        <f>9380.38+7829400.17+3163154.97</f>
        <v>11001935.52</v>
      </c>
      <c r="X93" s="5"/>
      <c r="Y93" s="5"/>
      <c r="Z93" s="5"/>
      <c r="AA93" s="5"/>
      <c r="AB93" s="5">
        <v>7490552.79</v>
      </c>
      <c r="AC93" s="5">
        <v>7293189.3899999997</v>
      </c>
      <c r="AD93" s="5">
        <v>15189063.65</v>
      </c>
      <c r="AE93" s="5">
        <v>16349481.6</v>
      </c>
      <c r="AF93" s="5">
        <v>2605684.9300000002</v>
      </c>
      <c r="AG93" s="5">
        <v>2801128.92</v>
      </c>
      <c r="AH93" s="5">
        <v>10282276.59</v>
      </c>
      <c r="AI93" s="5">
        <v>10034342.380000001</v>
      </c>
      <c r="AJ93" s="39">
        <v>1969</v>
      </c>
      <c r="AK93" s="39">
        <f t="shared" si="1"/>
        <v>52</v>
      </c>
      <c r="AL93" s="39">
        <v>3</v>
      </c>
      <c r="AM93" s="39">
        <v>1</v>
      </c>
      <c r="AN93" s="39" t="s">
        <v>297</v>
      </c>
    </row>
    <row r="94" spans="1:40" ht="60" x14ac:dyDescent="0.25">
      <c r="A94" s="4" t="s">
        <v>300</v>
      </c>
      <c r="B94" s="17" t="s">
        <v>298</v>
      </c>
      <c r="C94" s="8" t="s">
        <v>299</v>
      </c>
      <c r="D94" s="5">
        <f>23241076+7356472+966657</f>
        <v>31564205</v>
      </c>
      <c r="E94" s="5">
        <f>32179719+11113476+432052</f>
        <v>43725247</v>
      </c>
      <c r="F94" s="5">
        <f>38641510+17628490+529314</f>
        <v>56799314</v>
      </c>
      <c r="G94" s="5">
        <f>61279632+15668641+361206</f>
        <v>77309479</v>
      </c>
      <c r="H94" s="5">
        <f>966657-227770</f>
        <v>738887</v>
      </c>
      <c r="I94" s="5">
        <f>432052-215630</f>
        <v>216422</v>
      </c>
      <c r="J94" s="5">
        <f>529314-242899</f>
        <v>286415</v>
      </c>
      <c r="K94" s="5">
        <f>361206-340156</f>
        <v>21050</v>
      </c>
      <c r="L94" s="5">
        <v>1856190</v>
      </c>
      <c r="M94" s="5">
        <v>2183105</v>
      </c>
      <c r="N94" s="5">
        <v>2230268</v>
      </c>
      <c r="O94" s="5">
        <v>1469136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>
        <v>25346265</v>
      </c>
      <c r="AC94" s="5">
        <v>30527527</v>
      </c>
      <c r="AD94" s="5">
        <v>35383020</v>
      </c>
      <c r="AE94" s="5">
        <v>57622196</v>
      </c>
      <c r="AF94" s="5">
        <f>10496340+20660</f>
        <v>10517000</v>
      </c>
      <c r="AG94" s="5">
        <f>12018824+20660</f>
        <v>12039484</v>
      </c>
      <c r="AH94" s="5">
        <v>14205566</v>
      </c>
      <c r="AI94" s="5">
        <v>31682258</v>
      </c>
      <c r="AJ94" s="39">
        <v>2002</v>
      </c>
      <c r="AK94" s="39">
        <f t="shared" si="1"/>
        <v>19</v>
      </c>
      <c r="AL94" s="39">
        <v>1</v>
      </c>
      <c r="AM94" s="39">
        <v>1</v>
      </c>
      <c r="AN94" s="39" t="s">
        <v>5</v>
      </c>
    </row>
    <row r="95" spans="1:40" s="34" customFormat="1" ht="90" x14ac:dyDescent="0.25">
      <c r="A95" s="30" t="s">
        <v>383</v>
      </c>
      <c r="B95" s="31" t="s">
        <v>301</v>
      </c>
      <c r="C95" s="32" t="s">
        <v>302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9"/>
      <c r="AK95" s="39">
        <f t="shared" si="1"/>
        <v>2021</v>
      </c>
      <c r="AL95" s="39"/>
      <c r="AM95" s="39"/>
      <c r="AN95" s="39"/>
    </row>
    <row r="96" spans="1:40" ht="45" x14ac:dyDescent="0.25">
      <c r="A96" s="4" t="s">
        <v>304</v>
      </c>
      <c r="B96" s="17" t="s">
        <v>303</v>
      </c>
      <c r="C96" s="8" t="s">
        <v>256</v>
      </c>
      <c r="D96" s="5">
        <f>49662161+106166</f>
        <v>49768327</v>
      </c>
      <c r="E96" s="5">
        <f>54094280+385998</f>
        <v>54480278</v>
      </c>
      <c r="F96" s="5">
        <f>56572256+509952</f>
        <v>57082208</v>
      </c>
      <c r="G96" s="5">
        <f>66960148+280822</f>
        <v>67240970</v>
      </c>
      <c r="H96" s="5">
        <v>0</v>
      </c>
      <c r="I96" s="5">
        <v>0</v>
      </c>
      <c r="J96" s="5">
        <v>0</v>
      </c>
      <c r="K96" s="5">
        <v>0</v>
      </c>
      <c r="L96" s="5">
        <v>205448</v>
      </c>
      <c r="M96" s="5">
        <v>501067</v>
      </c>
      <c r="N96" s="5">
        <v>692600</v>
      </c>
      <c r="O96" s="5">
        <v>721897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>
        <v>25403659</v>
      </c>
      <c r="AC96" s="5">
        <v>31479549</v>
      </c>
      <c r="AD96" s="5">
        <v>34644898</v>
      </c>
      <c r="AE96" s="5">
        <v>35952386</v>
      </c>
      <c r="AF96" s="5">
        <f>2006850+15262570+33434</f>
        <v>17302854</v>
      </c>
      <c r="AG96" s="5">
        <f>1944453+14821501+64861</f>
        <v>16830815</v>
      </c>
      <c r="AH96" s="5">
        <f>1885123+16429624+41878</f>
        <v>18356625</v>
      </c>
      <c r="AI96" s="5">
        <f>1825789+16163963+18895</f>
        <v>18008647</v>
      </c>
      <c r="AJ96" s="39">
        <v>1967</v>
      </c>
      <c r="AK96" s="39">
        <f t="shared" si="1"/>
        <v>54</v>
      </c>
      <c r="AL96" s="39">
        <v>1</v>
      </c>
      <c r="AM96" s="39">
        <v>1</v>
      </c>
      <c r="AN96" s="39" t="s">
        <v>5</v>
      </c>
    </row>
    <row r="97" spans="1:40" s="34" customFormat="1" ht="90" x14ac:dyDescent="0.25">
      <c r="A97" s="30" t="s">
        <v>384</v>
      </c>
      <c r="B97" s="31" t="s">
        <v>305</v>
      </c>
      <c r="C97" s="32" t="s">
        <v>306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9"/>
      <c r="AK97" s="39">
        <f t="shared" si="1"/>
        <v>2021</v>
      </c>
      <c r="AL97" s="39"/>
      <c r="AM97" s="39"/>
      <c r="AN97" s="39"/>
    </row>
    <row r="98" spans="1:40" ht="90" x14ac:dyDescent="0.25">
      <c r="A98" s="4" t="s">
        <v>308</v>
      </c>
      <c r="B98" s="17" t="s">
        <v>307</v>
      </c>
      <c r="C98" s="8" t="s">
        <v>309</v>
      </c>
      <c r="D98" s="5">
        <f>1104515.88+18436.14</f>
        <v>1122952.0199999998</v>
      </c>
      <c r="E98" s="5">
        <f>1605962.72+225.45</f>
        <v>1606188.17</v>
      </c>
      <c r="F98" s="5">
        <f>1373081.9+47966.68</f>
        <v>1421048.5799999998</v>
      </c>
      <c r="G98" s="5">
        <f>2332463.79+34262.94</f>
        <v>2366726.73</v>
      </c>
      <c r="H98" s="5">
        <f>17126.51-3189.69</f>
        <v>13936.819999999998</v>
      </c>
      <c r="I98" s="5">
        <v>0</v>
      </c>
      <c r="J98" s="5">
        <v>41800.65</v>
      </c>
      <c r="K98" s="5">
        <f>34262.94-16848.94</f>
        <v>17414.000000000004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>
        <v>359529.66</v>
      </c>
      <c r="AC98" s="5">
        <v>837793.75</v>
      </c>
      <c r="AD98" s="5">
        <v>986418.53</v>
      </c>
      <c r="AE98" s="41" t="s">
        <v>115</v>
      </c>
      <c r="AF98" s="5">
        <v>13571.69</v>
      </c>
      <c r="AG98" s="5">
        <v>16779.21</v>
      </c>
      <c r="AH98" s="5">
        <v>31623.72</v>
      </c>
      <c r="AI98" s="41" t="s">
        <v>115</v>
      </c>
      <c r="AJ98" s="39">
        <v>2010</v>
      </c>
      <c r="AK98" s="39">
        <f t="shared" si="1"/>
        <v>11</v>
      </c>
      <c r="AL98" s="39">
        <v>1</v>
      </c>
      <c r="AM98" s="39">
        <v>1</v>
      </c>
      <c r="AN98" s="39" t="s">
        <v>51</v>
      </c>
    </row>
    <row r="99" spans="1:40" ht="45" x14ac:dyDescent="0.25">
      <c r="A99" s="4" t="s">
        <v>311</v>
      </c>
      <c r="B99" s="17" t="s">
        <v>310</v>
      </c>
      <c r="C99" s="8" t="s">
        <v>256</v>
      </c>
      <c r="D99" s="5">
        <f>15406000+230000</f>
        <v>15636000</v>
      </c>
      <c r="E99" s="5">
        <f>16140000+174000</f>
        <v>16314000</v>
      </c>
      <c r="F99" s="5">
        <f>19325000+257000</f>
        <v>19582000</v>
      </c>
      <c r="G99" s="5">
        <f>15315000+143000</f>
        <v>15458000</v>
      </c>
      <c r="H99" s="5">
        <v>111000</v>
      </c>
      <c r="I99" s="5">
        <v>76000</v>
      </c>
      <c r="J99" s="5">
        <v>152000</v>
      </c>
      <c r="K99" s="5">
        <v>31000</v>
      </c>
      <c r="L99" s="5">
        <v>526000</v>
      </c>
      <c r="M99" s="5">
        <v>444000</v>
      </c>
      <c r="N99" s="5">
        <v>398000</v>
      </c>
      <c r="O99" s="5">
        <v>302000</v>
      </c>
      <c r="P99" s="5">
        <v>4776000</v>
      </c>
      <c r="Q99" s="5">
        <v>2937000</v>
      </c>
      <c r="R99" s="5">
        <v>3939000</v>
      </c>
      <c r="S99" s="5">
        <v>2793000</v>
      </c>
      <c r="T99" s="5">
        <v>10630000</v>
      </c>
      <c r="U99" s="5">
        <v>13203000</v>
      </c>
      <c r="V99" s="5">
        <v>15386000</v>
      </c>
      <c r="W99" s="5">
        <v>12522000</v>
      </c>
      <c r="X99" s="5"/>
      <c r="Y99" s="5"/>
      <c r="Z99" s="5"/>
      <c r="AA99" s="5"/>
      <c r="AB99" s="5">
        <v>12708000</v>
      </c>
      <c r="AC99" s="5">
        <v>12483000</v>
      </c>
      <c r="AD99" s="5">
        <v>13649000</v>
      </c>
      <c r="AE99" s="5">
        <v>12487000</v>
      </c>
      <c r="AF99" s="5">
        <f>1994000+57000</f>
        <v>2051000</v>
      </c>
      <c r="AG99" s="5">
        <f>1923000+60000</f>
        <v>1983000</v>
      </c>
      <c r="AH99" s="5">
        <f>1941000+54000</f>
        <v>1995000</v>
      </c>
      <c r="AI99" s="5">
        <f>1894000+35000</f>
        <v>1929000</v>
      </c>
      <c r="AJ99" s="39">
        <v>1967</v>
      </c>
      <c r="AK99" s="39">
        <f t="shared" si="1"/>
        <v>54</v>
      </c>
      <c r="AL99" s="39">
        <v>1</v>
      </c>
      <c r="AM99" s="39">
        <v>1</v>
      </c>
      <c r="AN99" s="39" t="s">
        <v>5</v>
      </c>
    </row>
    <row r="100" spans="1:40" ht="60" x14ac:dyDescent="0.25">
      <c r="A100" s="4" t="s">
        <v>313</v>
      </c>
      <c r="B100" s="17" t="s">
        <v>312</v>
      </c>
      <c r="C100" s="8" t="s">
        <v>314</v>
      </c>
      <c r="D100" s="5">
        <f>7595104+403.16+227835.57+1189829.01+2254864.4</f>
        <v>11268036.140000001</v>
      </c>
      <c r="E100" s="5">
        <f>7852940.07+9345.1+8175.04+2209796.57+111234.02+538997.66</f>
        <v>10730488.459999999</v>
      </c>
      <c r="F100" s="5">
        <f>7739835.99+44591.73+10059.72+121844.3+169987.75+1393170.3</f>
        <v>9479489.790000001</v>
      </c>
      <c r="G100" s="5">
        <f>7552074.31+16199.93+65499.19+134802.14+1021002.17</f>
        <v>8789577.7400000002</v>
      </c>
      <c r="H100" s="5">
        <f>104482.81</f>
        <v>104482.81</v>
      </c>
      <c r="I100" s="5">
        <v>0</v>
      </c>
      <c r="J100" s="5">
        <v>13661.58</v>
      </c>
      <c r="K100" s="5">
        <v>0</v>
      </c>
      <c r="L100" s="41" t="s">
        <v>115</v>
      </c>
      <c r="M100" s="41" t="s">
        <v>115</v>
      </c>
      <c r="N100" s="5">
        <v>169987.75</v>
      </c>
      <c r="O100" s="5">
        <v>134802.14000000001</v>
      </c>
      <c r="P100" s="5">
        <v>1189829.01</v>
      </c>
      <c r="Q100" s="5">
        <v>538997.66</v>
      </c>
      <c r="R100" s="5">
        <v>1393170.3</v>
      </c>
      <c r="S100" s="5">
        <v>1021002.017</v>
      </c>
      <c r="T100" s="5">
        <f>D100-P100</f>
        <v>10078207.130000001</v>
      </c>
      <c r="U100" s="5">
        <f>E100-Q100</f>
        <v>10191490.799999999</v>
      </c>
      <c r="V100" s="5">
        <f>F100-R100</f>
        <v>8086319.4900000012</v>
      </c>
      <c r="W100" s="5">
        <f>G100-S100</f>
        <v>7768575.7230000002</v>
      </c>
      <c r="X100" s="5"/>
      <c r="Y100" s="5"/>
      <c r="Z100" s="5"/>
      <c r="AA100" s="5"/>
      <c r="AB100" s="5">
        <v>18162175.73</v>
      </c>
      <c r="AC100" s="5">
        <v>15166409.109999999</v>
      </c>
      <c r="AD100" s="5">
        <v>14489203.189999999</v>
      </c>
      <c r="AE100" s="5">
        <v>14085296.76</v>
      </c>
      <c r="AF100" s="5">
        <v>9745177.9499999993</v>
      </c>
      <c r="AG100" s="5">
        <v>9883930.6300000008</v>
      </c>
      <c r="AH100" s="5">
        <v>9248181.6400000006</v>
      </c>
      <c r="AI100" s="5">
        <v>8815065.3000000007</v>
      </c>
      <c r="AJ100" s="39">
        <v>1986</v>
      </c>
      <c r="AK100" s="39">
        <f t="shared" si="1"/>
        <v>35</v>
      </c>
      <c r="AL100" s="39">
        <v>3</v>
      </c>
      <c r="AM100" s="39">
        <v>1</v>
      </c>
      <c r="AN100" s="39" t="s">
        <v>192</v>
      </c>
    </row>
    <row r="101" spans="1:40" ht="60" x14ac:dyDescent="0.25">
      <c r="A101" s="4" t="s">
        <v>369</v>
      </c>
      <c r="B101" s="17" t="s">
        <v>315</v>
      </c>
      <c r="C101" s="8" t="s">
        <v>317</v>
      </c>
      <c r="D101" s="5">
        <f>2774994</f>
        <v>2774994</v>
      </c>
      <c r="E101" s="5">
        <v>3076184</v>
      </c>
      <c r="F101" s="5">
        <f>3634734+22182</f>
        <v>3656916</v>
      </c>
      <c r="G101" s="5">
        <f>4008178+10141</f>
        <v>4018319</v>
      </c>
      <c r="H101" s="5">
        <f>34059-15228</f>
        <v>18831</v>
      </c>
      <c r="I101" s="5">
        <f>12264-8201</f>
        <v>4063</v>
      </c>
      <c r="J101" s="5">
        <v>7118</v>
      </c>
      <c r="K101" s="5">
        <v>379</v>
      </c>
      <c r="L101" s="5">
        <v>153000</v>
      </c>
      <c r="M101" s="5">
        <v>657140</v>
      </c>
      <c r="N101" s="5">
        <v>785134</v>
      </c>
      <c r="O101" s="5">
        <v>944368</v>
      </c>
      <c r="P101" s="5">
        <v>1752486</v>
      </c>
      <c r="Q101" s="5">
        <v>1695193</v>
      </c>
      <c r="R101" s="5">
        <v>1723205</v>
      </c>
      <c r="S101" s="5">
        <v>1865855</v>
      </c>
      <c r="T101" s="5">
        <v>1022508</v>
      </c>
      <c r="U101" s="5">
        <v>1380991</v>
      </c>
      <c r="V101" s="5">
        <v>1911529</v>
      </c>
      <c r="W101" s="5">
        <v>2142323</v>
      </c>
      <c r="X101" s="5"/>
      <c r="Y101" s="5"/>
      <c r="Z101" s="5"/>
      <c r="AA101" s="5"/>
      <c r="AB101" s="5">
        <v>667876</v>
      </c>
      <c r="AC101" s="5">
        <v>422936</v>
      </c>
      <c r="AD101" s="5">
        <v>822306</v>
      </c>
      <c r="AE101" s="5">
        <v>1091133</v>
      </c>
      <c r="AF101" s="5">
        <v>151958</v>
      </c>
      <c r="AG101" s="5">
        <v>117217</v>
      </c>
      <c r="AH101" s="5">
        <f>91926+3019</f>
        <v>94945</v>
      </c>
      <c r="AI101" s="5">
        <f>33574</f>
        <v>33574</v>
      </c>
      <c r="AJ101" s="39">
        <v>2000</v>
      </c>
      <c r="AK101" s="39">
        <f t="shared" si="1"/>
        <v>21</v>
      </c>
      <c r="AL101" s="39">
        <v>1</v>
      </c>
      <c r="AM101" s="39">
        <v>1</v>
      </c>
      <c r="AN101" s="39" t="s">
        <v>5</v>
      </c>
    </row>
    <row r="102" spans="1:40" ht="64.900000000000006" customHeight="1" x14ac:dyDescent="0.25">
      <c r="A102" s="4"/>
      <c r="B102" s="4"/>
      <c r="C102" s="20" t="s">
        <v>361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39"/>
      <c r="AK102" s="39"/>
      <c r="AL102" s="39"/>
      <c r="AM102" s="39"/>
      <c r="AN102" s="39"/>
    </row>
    <row r="103" spans="1:40" ht="49.9" customHeight="1" x14ac:dyDescent="0.25">
      <c r="A103" s="4"/>
      <c r="B103" s="4"/>
      <c r="C103" s="32" t="s">
        <v>360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39"/>
      <c r="AK103" s="39"/>
      <c r="AL103" s="39"/>
      <c r="AM103" s="39"/>
      <c r="AN103" s="39"/>
    </row>
    <row r="104" spans="1:40" ht="75" x14ac:dyDescent="0.25">
      <c r="A104" s="4"/>
      <c r="B104" s="4"/>
      <c r="C104" s="42" t="s">
        <v>362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39"/>
      <c r="AK104" s="39"/>
      <c r="AL104" s="39"/>
      <c r="AM104" s="39"/>
      <c r="AN104" s="39"/>
    </row>
    <row r="105" spans="1:40" ht="60" x14ac:dyDescent="0.25">
      <c r="A105" s="4"/>
      <c r="B105" s="4"/>
      <c r="C105" s="43" t="s">
        <v>363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39"/>
      <c r="AK105" s="39"/>
      <c r="AL105" s="39"/>
      <c r="AM105" s="39"/>
      <c r="AN105" s="39"/>
    </row>
    <row r="106" spans="1:40" x14ac:dyDescent="0.25">
      <c r="A106" s="4"/>
      <c r="B106" s="4"/>
      <c r="C106" s="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39"/>
      <c r="AK106" s="39"/>
      <c r="AL106" s="39"/>
      <c r="AM106" s="39"/>
      <c r="AN106" s="39"/>
    </row>
    <row r="107" spans="1:40" x14ac:dyDescent="0.25">
      <c r="A107" s="4"/>
      <c r="B107" s="4"/>
      <c r="C107" s="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39"/>
      <c r="AK107" s="39"/>
      <c r="AL107" s="39"/>
      <c r="AM107" s="39"/>
      <c r="AN107" s="39"/>
    </row>
    <row r="108" spans="1:40" x14ac:dyDescent="0.25">
      <c r="A108" s="4"/>
      <c r="B108" s="4"/>
      <c r="C108" s="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39"/>
      <c r="AK108" s="39"/>
      <c r="AL108" s="39"/>
      <c r="AM108" s="39"/>
      <c r="AN108" s="39"/>
    </row>
    <row r="109" spans="1:40" x14ac:dyDescent="0.25">
      <c r="A109" s="4"/>
      <c r="B109" s="4"/>
      <c r="C109" s="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39"/>
      <c r="AK109" s="39"/>
      <c r="AL109" s="39"/>
      <c r="AM109" s="39"/>
      <c r="AN109" s="39"/>
    </row>
    <row r="110" spans="1:40" x14ac:dyDescent="0.25">
      <c r="A110" s="4"/>
      <c r="B110" s="4"/>
      <c r="C110" s="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39"/>
      <c r="AK110" s="39"/>
      <c r="AL110" s="39"/>
      <c r="AM110" s="39"/>
      <c r="AN110" s="39"/>
    </row>
    <row r="111" spans="1:40" x14ac:dyDescent="0.25">
      <c r="A111" s="4"/>
      <c r="B111" s="4"/>
      <c r="C111" s="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39"/>
      <c r="AK111" s="39"/>
      <c r="AL111" s="39"/>
      <c r="AM111" s="39"/>
      <c r="AN111" s="39"/>
    </row>
    <row r="112" spans="1:40" x14ac:dyDescent="0.25">
      <c r="A112" s="4"/>
      <c r="B112" s="4"/>
      <c r="C112" s="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39"/>
      <c r="AK112" s="39"/>
      <c r="AL112" s="39"/>
      <c r="AM112" s="39"/>
      <c r="AN112" s="39"/>
    </row>
    <row r="113" spans="1:40" x14ac:dyDescent="0.25">
      <c r="A113" s="4"/>
      <c r="B113" s="4"/>
      <c r="C113" s="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39"/>
      <c r="AK113" s="39"/>
      <c r="AL113" s="39"/>
      <c r="AM113" s="39"/>
      <c r="AN113" s="39"/>
    </row>
    <row r="114" spans="1:40" x14ac:dyDescent="0.25">
      <c r="A114" s="4"/>
      <c r="B114" s="4"/>
      <c r="C114" s="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39"/>
      <c r="AK114" s="39"/>
      <c r="AL114" s="39"/>
      <c r="AM114" s="39"/>
      <c r="AN114" s="39"/>
    </row>
    <row r="115" spans="1:40" x14ac:dyDescent="0.25">
      <c r="A115" s="4"/>
      <c r="B115" s="4"/>
      <c r="C115" s="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39"/>
      <c r="AK115" s="39"/>
      <c r="AL115" s="39"/>
      <c r="AM115" s="39"/>
      <c r="AN115" s="39"/>
    </row>
    <row r="116" spans="1:40" x14ac:dyDescent="0.25">
      <c r="A116" s="4"/>
      <c r="B116" s="4"/>
      <c r="C116" s="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39"/>
      <c r="AK116" s="39"/>
      <c r="AL116" s="39"/>
      <c r="AM116" s="39"/>
      <c r="AN116" s="39"/>
    </row>
    <row r="117" spans="1:40" x14ac:dyDescent="0.25">
      <c r="A117" s="4"/>
      <c r="B117" s="4"/>
      <c r="C117" s="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39"/>
      <c r="AK117" s="39"/>
      <c r="AL117" s="39"/>
      <c r="AM117" s="39"/>
      <c r="AN117" s="39"/>
    </row>
    <row r="118" spans="1:40" x14ac:dyDescent="0.25">
      <c r="A118" s="4"/>
      <c r="B118" s="4"/>
      <c r="C118" s="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39"/>
      <c r="AK118" s="39"/>
      <c r="AL118" s="39"/>
      <c r="AM118" s="39"/>
      <c r="AN118" s="39"/>
    </row>
    <row r="119" spans="1:40" x14ac:dyDescent="0.25">
      <c r="A119" s="4"/>
      <c r="B119" s="4"/>
      <c r="C119" s="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39"/>
      <c r="AK119" s="39"/>
      <c r="AL119" s="39"/>
      <c r="AM119" s="39"/>
      <c r="AN119" s="39"/>
    </row>
    <row r="120" spans="1:40" x14ac:dyDescent="0.25">
      <c r="A120" s="4"/>
      <c r="B120" s="4"/>
      <c r="C120" s="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39"/>
      <c r="AK120" s="39"/>
      <c r="AL120" s="39"/>
      <c r="AM120" s="39"/>
      <c r="AN120" s="39"/>
    </row>
    <row r="121" spans="1:40" x14ac:dyDescent="0.25">
      <c r="A121" s="4"/>
      <c r="B121" s="4"/>
      <c r="C121" s="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39"/>
      <c r="AK121" s="39"/>
      <c r="AL121" s="39"/>
      <c r="AM121" s="39"/>
      <c r="AN121" s="39"/>
    </row>
    <row r="122" spans="1:40" x14ac:dyDescent="0.25">
      <c r="A122" s="4"/>
      <c r="B122" s="4"/>
      <c r="C122" s="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39"/>
      <c r="AK122" s="39"/>
      <c r="AL122" s="39"/>
      <c r="AM122" s="39"/>
      <c r="AN122" s="39"/>
    </row>
    <row r="123" spans="1:40" x14ac:dyDescent="0.25">
      <c r="A123" s="4"/>
      <c r="B123" s="4"/>
      <c r="C123" s="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39"/>
      <c r="AK123" s="39"/>
      <c r="AL123" s="39"/>
      <c r="AM123" s="39"/>
      <c r="AN123" s="39"/>
    </row>
    <row r="124" spans="1:40" x14ac:dyDescent="0.25">
      <c r="A124" s="4"/>
      <c r="B124" s="4"/>
      <c r="C124" s="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39"/>
      <c r="AK124" s="39"/>
      <c r="AL124" s="39"/>
      <c r="AM124" s="39"/>
      <c r="AN124" s="39"/>
    </row>
    <row r="125" spans="1:40" x14ac:dyDescent="0.25">
      <c r="A125" s="4"/>
      <c r="B125" s="4"/>
      <c r="C125" s="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39"/>
      <c r="AK125" s="39"/>
      <c r="AL125" s="39"/>
      <c r="AM125" s="39"/>
      <c r="AN125" s="39"/>
    </row>
    <row r="126" spans="1:40" x14ac:dyDescent="0.25">
      <c r="A126" s="4"/>
      <c r="B126" s="4"/>
      <c r="C126" s="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39"/>
      <c r="AK126" s="39"/>
      <c r="AL126" s="39"/>
      <c r="AM126" s="39"/>
      <c r="AN126" s="39"/>
    </row>
    <row r="127" spans="1:40" x14ac:dyDescent="0.25">
      <c r="A127" s="4"/>
      <c r="B127" s="4"/>
      <c r="C127" s="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39"/>
      <c r="AK127" s="39"/>
      <c r="AL127" s="39"/>
      <c r="AM127" s="39"/>
      <c r="AN127" s="39"/>
    </row>
    <row r="128" spans="1:40" x14ac:dyDescent="0.25">
      <c r="A128" s="4"/>
      <c r="B128" s="4"/>
      <c r="C128" s="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39"/>
      <c r="AK128" s="39"/>
      <c r="AL128" s="39"/>
      <c r="AM128" s="39"/>
      <c r="AN128" s="39"/>
    </row>
    <row r="129" spans="1:40" x14ac:dyDescent="0.25">
      <c r="A129" s="4"/>
      <c r="B129" s="4"/>
      <c r="C129" s="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39"/>
      <c r="AK129" s="39"/>
      <c r="AL129" s="39"/>
      <c r="AM129" s="39"/>
      <c r="AN129" s="39"/>
    </row>
    <row r="130" spans="1:40" x14ac:dyDescent="0.25">
      <c r="A130" s="4"/>
      <c r="B130" s="4"/>
      <c r="C130" s="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39"/>
      <c r="AK130" s="39"/>
      <c r="AL130" s="39"/>
      <c r="AM130" s="39"/>
      <c r="AN130" s="39"/>
    </row>
    <row r="131" spans="1:40" x14ac:dyDescent="0.25">
      <c r="A131" s="4"/>
      <c r="B131" s="4"/>
      <c r="C131" s="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39"/>
      <c r="AK131" s="39"/>
      <c r="AL131" s="39"/>
      <c r="AM131" s="39"/>
      <c r="AN131" s="39"/>
    </row>
    <row r="132" spans="1:40" x14ac:dyDescent="0.25">
      <c r="A132" s="4"/>
      <c r="B132" s="4"/>
      <c r="C132" s="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39"/>
      <c r="AK132" s="39"/>
      <c r="AL132" s="39"/>
      <c r="AM132" s="39"/>
      <c r="AN132" s="39"/>
    </row>
    <row r="133" spans="1:40" x14ac:dyDescent="0.25">
      <c r="A133" s="4"/>
      <c r="B133" s="4"/>
      <c r="C133" s="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39"/>
      <c r="AK133" s="39"/>
      <c r="AL133" s="39"/>
      <c r="AM133" s="39"/>
      <c r="AN133" s="39"/>
    </row>
    <row r="134" spans="1:40" x14ac:dyDescent="0.25">
      <c r="A134" s="4"/>
      <c r="B134" s="4"/>
      <c r="C134" s="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39"/>
      <c r="AK134" s="39"/>
      <c r="AL134" s="39"/>
      <c r="AM134" s="39"/>
      <c r="AN134" s="39"/>
    </row>
    <row r="135" spans="1:40" x14ac:dyDescent="0.25">
      <c r="A135" s="4"/>
      <c r="B135" s="4"/>
      <c r="C135" s="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39"/>
      <c r="AK135" s="39"/>
      <c r="AL135" s="39"/>
      <c r="AM135" s="39"/>
      <c r="AN135" s="39"/>
    </row>
    <row r="136" spans="1:40" x14ac:dyDescent="0.25">
      <c r="A136" s="4"/>
      <c r="B136" s="4"/>
      <c r="C136" s="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39"/>
      <c r="AK136" s="39"/>
      <c r="AL136" s="39"/>
      <c r="AM136" s="39"/>
      <c r="AN136" s="39"/>
    </row>
    <row r="137" spans="1:40" x14ac:dyDescent="0.25">
      <c r="A137" s="4"/>
      <c r="B137" s="4"/>
      <c r="C137" s="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39"/>
      <c r="AK137" s="39"/>
      <c r="AL137" s="39"/>
      <c r="AM137" s="39"/>
      <c r="AN137" s="39"/>
    </row>
    <row r="138" spans="1:40" x14ac:dyDescent="0.25">
      <c r="A138" s="4"/>
      <c r="B138" s="4"/>
      <c r="C138" s="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39"/>
      <c r="AK138" s="39"/>
      <c r="AL138" s="39"/>
      <c r="AM138" s="39"/>
      <c r="AN138" s="39"/>
    </row>
    <row r="139" spans="1:40" x14ac:dyDescent="0.25">
      <c r="A139" s="4"/>
      <c r="B139" s="4"/>
      <c r="C139" s="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39"/>
      <c r="AK139" s="39"/>
      <c r="AL139" s="39"/>
      <c r="AM139" s="39"/>
      <c r="AN139" s="39"/>
    </row>
    <row r="140" spans="1:40" x14ac:dyDescent="0.25">
      <c r="A140" s="4"/>
      <c r="B140" s="4"/>
      <c r="C140" s="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39"/>
      <c r="AK140" s="39"/>
      <c r="AL140" s="39"/>
      <c r="AM140" s="39"/>
      <c r="AN140" s="39"/>
    </row>
    <row r="141" spans="1:40" x14ac:dyDescent="0.25">
      <c r="A141" s="4"/>
      <c r="B141" s="4"/>
      <c r="C141" s="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39"/>
      <c r="AK141" s="39"/>
      <c r="AL141" s="39"/>
      <c r="AM141" s="39"/>
      <c r="AN141" s="39"/>
    </row>
    <row r="142" spans="1:40" x14ac:dyDescent="0.25">
      <c r="A142" s="4"/>
      <c r="B142" s="4"/>
      <c r="C142" s="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39"/>
      <c r="AK142" s="39"/>
      <c r="AL142" s="39"/>
      <c r="AM142" s="39"/>
      <c r="AN142" s="39"/>
    </row>
    <row r="143" spans="1:40" x14ac:dyDescent="0.25">
      <c r="A143" s="4"/>
      <c r="B143" s="4"/>
      <c r="C143" s="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39"/>
      <c r="AK143" s="39"/>
      <c r="AL143" s="39"/>
      <c r="AM143" s="39"/>
      <c r="AN143" s="39"/>
    </row>
    <row r="144" spans="1:40" x14ac:dyDescent="0.25">
      <c r="A144" s="4"/>
      <c r="B144" s="4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39"/>
      <c r="AK144" s="39"/>
      <c r="AL144" s="39"/>
      <c r="AM144" s="39"/>
      <c r="AN144" s="39"/>
    </row>
    <row r="145" spans="1:40" x14ac:dyDescent="0.25">
      <c r="A145" s="4"/>
      <c r="B145" s="4"/>
      <c r="C145" s="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39"/>
      <c r="AK145" s="39"/>
      <c r="AL145" s="39"/>
      <c r="AM145" s="39"/>
      <c r="AN145" s="39"/>
    </row>
    <row r="146" spans="1:40" x14ac:dyDescent="0.25">
      <c r="A146" s="4"/>
      <c r="B146" s="4"/>
      <c r="C146" s="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39"/>
      <c r="AK146" s="39"/>
      <c r="AL146" s="39"/>
      <c r="AM146" s="39"/>
      <c r="AN146" s="39"/>
    </row>
    <row r="147" spans="1:40" x14ac:dyDescent="0.25">
      <c r="A147" s="4"/>
      <c r="B147" s="4"/>
      <c r="C147" s="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39"/>
      <c r="AK147" s="39"/>
      <c r="AL147" s="39"/>
      <c r="AM147" s="39"/>
      <c r="AN147" s="39"/>
    </row>
    <row r="148" spans="1:40" x14ac:dyDescent="0.25">
      <c r="A148" s="4"/>
      <c r="B148" s="4"/>
      <c r="C148" s="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39"/>
      <c r="AK148" s="39"/>
      <c r="AL148" s="39"/>
      <c r="AM148" s="39"/>
      <c r="AN148" s="39"/>
    </row>
    <row r="149" spans="1:40" x14ac:dyDescent="0.25">
      <c r="A149" s="4"/>
      <c r="B149" s="4"/>
      <c r="C149" s="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39"/>
      <c r="AK149" s="39"/>
      <c r="AL149" s="39"/>
      <c r="AM149" s="39"/>
      <c r="AN149" s="39"/>
    </row>
    <row r="150" spans="1:40" x14ac:dyDescent="0.25">
      <c r="A150" s="4"/>
      <c r="B150" s="4"/>
      <c r="C150" s="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39"/>
      <c r="AK150" s="39"/>
      <c r="AL150" s="39"/>
      <c r="AM150" s="39"/>
      <c r="AN150" s="39"/>
    </row>
    <row r="151" spans="1:40" x14ac:dyDescent="0.25">
      <c r="A151" s="4"/>
      <c r="B151" s="4"/>
      <c r="C151" s="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39"/>
      <c r="AK151" s="39"/>
      <c r="AL151" s="39"/>
      <c r="AM151" s="39"/>
      <c r="AN151" s="39"/>
    </row>
    <row r="152" spans="1:40" x14ac:dyDescent="0.25">
      <c r="A152" s="4"/>
      <c r="B152" s="4"/>
      <c r="C152" s="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39"/>
      <c r="AK152" s="39"/>
      <c r="AL152" s="39"/>
      <c r="AM152" s="39"/>
      <c r="AN152" s="39"/>
    </row>
    <row r="153" spans="1:40" x14ac:dyDescent="0.25">
      <c r="A153" s="4"/>
      <c r="B153" s="4"/>
      <c r="C153" s="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39"/>
      <c r="AK153" s="39"/>
      <c r="AL153" s="39"/>
      <c r="AM153" s="39"/>
      <c r="AN153" s="39"/>
    </row>
    <row r="154" spans="1:40" x14ac:dyDescent="0.25">
      <c r="A154" s="4"/>
      <c r="B154" s="4"/>
      <c r="C154" s="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39"/>
      <c r="AK154" s="39"/>
      <c r="AL154" s="39"/>
      <c r="AM154" s="39"/>
      <c r="AN154" s="39"/>
    </row>
    <row r="155" spans="1:40" x14ac:dyDescent="0.25">
      <c r="A155" s="4"/>
      <c r="B155" s="4"/>
      <c r="C155" s="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39"/>
      <c r="AK155" s="39"/>
      <c r="AL155" s="39"/>
      <c r="AM155" s="39"/>
      <c r="AN155" s="39"/>
    </row>
    <row r="156" spans="1:40" x14ac:dyDescent="0.25">
      <c r="A156" s="4"/>
      <c r="B156" s="4"/>
      <c r="C156" s="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39"/>
      <c r="AK156" s="39"/>
      <c r="AL156" s="39"/>
      <c r="AM156" s="39"/>
      <c r="AN156" s="39"/>
    </row>
    <row r="157" spans="1:40" x14ac:dyDescent="0.25">
      <c r="A157" s="4"/>
      <c r="B157" s="4"/>
      <c r="C157" s="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39"/>
      <c r="AK157" s="39"/>
      <c r="AL157" s="39"/>
      <c r="AM157" s="39"/>
      <c r="AN157" s="39"/>
    </row>
    <row r="158" spans="1:40" x14ac:dyDescent="0.25">
      <c r="A158" s="4"/>
      <c r="B158" s="4"/>
      <c r="C158" s="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39"/>
      <c r="AK158" s="39"/>
      <c r="AL158" s="39"/>
      <c r="AM158" s="39"/>
      <c r="AN158" s="39"/>
    </row>
    <row r="159" spans="1:40" x14ac:dyDescent="0.25">
      <c r="A159" s="4"/>
      <c r="B159" s="4"/>
      <c r="C159" s="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39"/>
      <c r="AK159" s="39"/>
      <c r="AL159" s="39"/>
      <c r="AM159" s="39"/>
      <c r="AN159" s="39"/>
    </row>
    <row r="160" spans="1:40" x14ac:dyDescent="0.25">
      <c r="A160" s="4"/>
      <c r="B160" s="4"/>
      <c r="C160" s="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39"/>
      <c r="AK160" s="39"/>
      <c r="AL160" s="39"/>
      <c r="AM160" s="39"/>
      <c r="AN160" s="39"/>
    </row>
    <row r="161" spans="1:40" x14ac:dyDescent="0.25">
      <c r="A161" s="4"/>
      <c r="B161" s="4"/>
      <c r="C161" s="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39"/>
      <c r="AK161" s="39"/>
      <c r="AL161" s="39"/>
      <c r="AM161" s="39"/>
      <c r="AN161" s="39"/>
    </row>
    <row r="162" spans="1:40" x14ac:dyDescent="0.25">
      <c r="A162" s="4"/>
      <c r="B162" s="4"/>
      <c r="C162" s="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39"/>
      <c r="AK162" s="39"/>
      <c r="AL162" s="39"/>
      <c r="AM162" s="39"/>
      <c r="AN162" s="39"/>
    </row>
    <row r="163" spans="1:40" x14ac:dyDescent="0.25">
      <c r="A163" s="4"/>
      <c r="B163" s="4"/>
      <c r="C163" s="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39"/>
      <c r="AK163" s="39"/>
      <c r="AL163" s="39"/>
      <c r="AM163" s="39"/>
      <c r="AN163" s="39"/>
    </row>
    <row r="164" spans="1:40" x14ac:dyDescent="0.25">
      <c r="A164" s="4"/>
      <c r="B164" s="4"/>
      <c r="C164" s="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39"/>
      <c r="AK164" s="39"/>
      <c r="AL164" s="39"/>
      <c r="AM164" s="39"/>
      <c r="AN164" s="39"/>
    </row>
    <row r="165" spans="1:40" x14ac:dyDescent="0.25">
      <c r="A165" s="4"/>
      <c r="B165" s="4"/>
      <c r="C165" s="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39"/>
      <c r="AK165" s="39"/>
      <c r="AL165" s="39"/>
      <c r="AM165" s="39"/>
      <c r="AN165" s="39"/>
    </row>
    <row r="166" spans="1:40" x14ac:dyDescent="0.25">
      <c r="A166" s="4"/>
      <c r="B166" s="4"/>
      <c r="C166" s="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39"/>
      <c r="AK166" s="39"/>
      <c r="AL166" s="39"/>
      <c r="AM166" s="39"/>
      <c r="AN166" s="39"/>
    </row>
    <row r="167" spans="1:40" x14ac:dyDescent="0.25">
      <c r="A167" s="4"/>
      <c r="B167" s="4"/>
      <c r="C167" s="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39"/>
      <c r="AK167" s="39"/>
      <c r="AL167" s="39"/>
      <c r="AM167" s="39"/>
      <c r="AN167" s="39"/>
    </row>
    <row r="168" spans="1:40" x14ac:dyDescent="0.25">
      <c r="A168" s="4"/>
      <c r="B168" s="4"/>
      <c r="C168" s="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39"/>
      <c r="AK168" s="39"/>
      <c r="AL168" s="39"/>
      <c r="AM168" s="39"/>
      <c r="AN168" s="39"/>
    </row>
    <row r="169" spans="1:40" x14ac:dyDescent="0.25">
      <c r="A169" s="4"/>
      <c r="B169" s="4"/>
      <c r="C169" s="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39"/>
      <c r="AK169" s="39"/>
      <c r="AL169" s="39"/>
      <c r="AM169" s="39"/>
      <c r="AN169" s="39"/>
    </row>
    <row r="170" spans="1:40" x14ac:dyDescent="0.25">
      <c r="A170" s="4"/>
      <c r="B170" s="4"/>
      <c r="C170" s="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39"/>
      <c r="AK170" s="39"/>
      <c r="AL170" s="39"/>
      <c r="AM170" s="39"/>
      <c r="AN170" s="39"/>
    </row>
    <row r="171" spans="1:40" x14ac:dyDescent="0.25">
      <c r="A171" s="4"/>
      <c r="B171" s="4"/>
      <c r="C171" s="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39"/>
      <c r="AK171" s="39"/>
      <c r="AL171" s="39"/>
      <c r="AM171" s="39"/>
      <c r="AN171" s="39"/>
    </row>
    <row r="172" spans="1:40" x14ac:dyDescent="0.25">
      <c r="A172" s="4"/>
      <c r="B172" s="4"/>
      <c r="C172" s="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39"/>
      <c r="AK172" s="39"/>
      <c r="AL172" s="39"/>
      <c r="AM172" s="39"/>
      <c r="AN172" s="39"/>
    </row>
    <row r="173" spans="1:40" x14ac:dyDescent="0.25">
      <c r="A173" s="4"/>
      <c r="B173" s="4"/>
      <c r="C173" s="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39"/>
      <c r="AK173" s="39"/>
      <c r="AL173" s="39"/>
      <c r="AM173" s="39"/>
      <c r="AN173" s="39"/>
    </row>
    <row r="174" spans="1:40" x14ac:dyDescent="0.25">
      <c r="A174" s="4"/>
      <c r="B174" s="4"/>
      <c r="C174" s="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39"/>
      <c r="AK174" s="39"/>
      <c r="AL174" s="39"/>
      <c r="AM174" s="39"/>
      <c r="AN174" s="39"/>
    </row>
    <row r="175" spans="1:40" x14ac:dyDescent="0.25">
      <c r="A175" s="4"/>
      <c r="B175" s="4"/>
      <c r="C175" s="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39"/>
      <c r="AK175" s="39"/>
      <c r="AL175" s="39"/>
      <c r="AM175" s="39"/>
      <c r="AN175" s="39"/>
    </row>
    <row r="176" spans="1:40" x14ac:dyDescent="0.25">
      <c r="A176" s="4"/>
      <c r="B176" s="4"/>
      <c r="C176" s="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39"/>
      <c r="AK176" s="39"/>
      <c r="AL176" s="39"/>
      <c r="AM176" s="39"/>
      <c r="AN176" s="39"/>
    </row>
    <row r="177" spans="1:40" x14ac:dyDescent="0.25">
      <c r="A177" s="4"/>
      <c r="B177" s="4"/>
      <c r="C177" s="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39"/>
      <c r="AK177" s="39"/>
      <c r="AL177" s="39"/>
      <c r="AM177" s="39"/>
      <c r="AN177" s="39"/>
    </row>
    <row r="178" spans="1:40" x14ac:dyDescent="0.25">
      <c r="A178" s="4"/>
      <c r="B178" s="4"/>
      <c r="C178" s="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39"/>
      <c r="AK178" s="39"/>
      <c r="AL178" s="39"/>
      <c r="AM178" s="39"/>
      <c r="AN178" s="39"/>
    </row>
    <row r="179" spans="1:40" x14ac:dyDescent="0.25">
      <c r="A179" s="4"/>
      <c r="B179" s="4"/>
      <c r="C179" s="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39"/>
      <c r="AK179" s="39"/>
      <c r="AL179" s="39"/>
      <c r="AM179" s="39"/>
      <c r="AN179" s="39"/>
    </row>
    <row r="180" spans="1:40" x14ac:dyDescent="0.25">
      <c r="A180" s="4"/>
      <c r="B180" s="4"/>
      <c r="C180" s="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39"/>
      <c r="AK180" s="39"/>
      <c r="AL180" s="39"/>
      <c r="AM180" s="39"/>
      <c r="AN180" s="39"/>
    </row>
    <row r="181" spans="1:40" x14ac:dyDescent="0.25">
      <c r="A181" s="4"/>
      <c r="B181" s="4"/>
      <c r="C181" s="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39"/>
      <c r="AK181" s="39"/>
      <c r="AL181" s="39"/>
      <c r="AM181" s="39"/>
      <c r="AN181" s="39"/>
    </row>
    <row r="182" spans="1:40" x14ac:dyDescent="0.25">
      <c r="A182" s="4"/>
      <c r="B182" s="4"/>
      <c r="C182" s="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39"/>
      <c r="AK182" s="39"/>
      <c r="AL182" s="39"/>
      <c r="AM182" s="39"/>
      <c r="AN182" s="39"/>
    </row>
    <row r="183" spans="1:40" x14ac:dyDescent="0.25">
      <c r="A183" s="4"/>
      <c r="B183" s="4"/>
      <c r="C183" s="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39"/>
      <c r="AK183" s="39"/>
      <c r="AL183" s="39"/>
      <c r="AM183" s="39"/>
      <c r="AN183" s="39"/>
    </row>
    <row r="184" spans="1:40" x14ac:dyDescent="0.25">
      <c r="A184" s="4"/>
      <c r="B184" s="4"/>
      <c r="C184" s="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39"/>
      <c r="AK184" s="39"/>
      <c r="AL184" s="39"/>
      <c r="AM184" s="39"/>
      <c r="AN184" s="39"/>
    </row>
    <row r="185" spans="1:40" x14ac:dyDescent="0.25">
      <c r="A185" s="4"/>
      <c r="B185" s="4"/>
      <c r="C185" s="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39"/>
      <c r="AK185" s="39"/>
      <c r="AL185" s="39"/>
      <c r="AM185" s="39"/>
      <c r="AN185" s="39"/>
    </row>
    <row r="186" spans="1:40" x14ac:dyDescent="0.25">
      <c r="A186" s="4"/>
      <c r="B186" s="4"/>
      <c r="C186" s="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39"/>
      <c r="AK186" s="39"/>
      <c r="AL186" s="39"/>
      <c r="AM186" s="39"/>
      <c r="AN186" s="39"/>
    </row>
    <row r="187" spans="1:40" x14ac:dyDescent="0.25">
      <c r="A187" s="4"/>
      <c r="B187" s="4"/>
      <c r="C187" s="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39"/>
      <c r="AK187" s="39"/>
      <c r="AL187" s="39"/>
      <c r="AM187" s="39"/>
      <c r="AN187" s="39"/>
    </row>
    <row r="188" spans="1:40" x14ac:dyDescent="0.25">
      <c r="A188" s="4"/>
      <c r="B188" s="4"/>
      <c r="C188" s="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39"/>
      <c r="AK188" s="39"/>
      <c r="AL188" s="39"/>
      <c r="AM188" s="39"/>
      <c r="AN188" s="39"/>
    </row>
    <row r="189" spans="1:40" x14ac:dyDescent="0.25">
      <c r="A189" s="4"/>
      <c r="B189" s="4"/>
      <c r="C189" s="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39"/>
      <c r="AK189" s="39"/>
      <c r="AL189" s="39"/>
      <c r="AM189" s="39"/>
      <c r="AN189" s="39"/>
    </row>
    <row r="190" spans="1:40" x14ac:dyDescent="0.25">
      <c r="A190" s="4"/>
      <c r="B190" s="4"/>
      <c r="C190" s="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39"/>
      <c r="AK190" s="39"/>
      <c r="AL190" s="39"/>
      <c r="AM190" s="39"/>
      <c r="AN190" s="39"/>
    </row>
    <row r="191" spans="1:40" x14ac:dyDescent="0.25">
      <c r="A191" s="4"/>
      <c r="B191" s="4"/>
      <c r="C191" s="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39"/>
      <c r="AK191" s="39"/>
      <c r="AL191" s="39"/>
      <c r="AM191" s="39"/>
      <c r="AN191" s="39"/>
    </row>
    <row r="192" spans="1:40" x14ac:dyDescent="0.25">
      <c r="A192" s="4"/>
      <c r="B192" s="4"/>
      <c r="C192" s="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39"/>
      <c r="AK192" s="39"/>
      <c r="AL192" s="39"/>
      <c r="AM192" s="39"/>
      <c r="AN192" s="39"/>
    </row>
    <row r="193" spans="1:40" x14ac:dyDescent="0.25">
      <c r="A193" s="4"/>
      <c r="B193" s="4"/>
      <c r="C193" s="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39"/>
      <c r="AK193" s="39"/>
      <c r="AL193" s="39"/>
      <c r="AM193" s="39"/>
      <c r="AN193" s="39"/>
    </row>
    <row r="194" spans="1:40" x14ac:dyDescent="0.25">
      <c r="A194" s="4"/>
      <c r="B194" s="4"/>
      <c r="C194" s="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39"/>
      <c r="AK194" s="39"/>
      <c r="AL194" s="39"/>
      <c r="AM194" s="39"/>
      <c r="AN194" s="39"/>
    </row>
    <row r="195" spans="1:40" x14ac:dyDescent="0.25">
      <c r="A195" s="4"/>
      <c r="B195" s="4"/>
      <c r="C195" s="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39"/>
      <c r="AK195" s="39"/>
      <c r="AL195" s="39"/>
      <c r="AM195" s="39"/>
      <c r="AN195" s="39"/>
    </row>
    <row r="196" spans="1:40" x14ac:dyDescent="0.25">
      <c r="A196" s="4"/>
      <c r="B196" s="4"/>
      <c r="C196" s="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39"/>
      <c r="AK196" s="39"/>
      <c r="AL196" s="39"/>
      <c r="AM196" s="39"/>
      <c r="AN196" s="39"/>
    </row>
    <row r="197" spans="1:40" x14ac:dyDescent="0.25">
      <c r="A197" s="4"/>
      <c r="B197" s="4"/>
      <c r="C197" s="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39"/>
      <c r="AK197" s="39"/>
      <c r="AL197" s="39"/>
      <c r="AM197" s="39"/>
      <c r="AN197" s="39"/>
    </row>
    <row r="198" spans="1:40" x14ac:dyDescent="0.25">
      <c r="A198" s="4"/>
      <c r="B198" s="4"/>
      <c r="C198" s="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39"/>
      <c r="AK198" s="39"/>
      <c r="AL198" s="39"/>
      <c r="AM198" s="39"/>
      <c r="AN198" s="39"/>
    </row>
    <row r="199" spans="1:40" x14ac:dyDescent="0.25">
      <c r="A199" s="4"/>
      <c r="B199" s="4"/>
      <c r="C199" s="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39"/>
      <c r="AK199" s="39"/>
      <c r="AL199" s="39"/>
      <c r="AM199" s="39"/>
      <c r="AN199" s="39"/>
    </row>
    <row r="200" spans="1:40" x14ac:dyDescent="0.25">
      <c r="A200" s="4"/>
      <c r="B200" s="4"/>
      <c r="C200" s="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39"/>
      <c r="AK200" s="39"/>
      <c r="AL200" s="39"/>
      <c r="AM200" s="39"/>
      <c r="AN200" s="39"/>
    </row>
    <row r="201" spans="1:40" x14ac:dyDescent="0.25">
      <c r="A201" s="4"/>
      <c r="B201" s="4"/>
      <c r="C201" s="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39"/>
      <c r="AK201" s="39"/>
      <c r="AL201" s="39"/>
      <c r="AM201" s="39"/>
      <c r="AN201" s="39"/>
    </row>
    <row r="202" spans="1:40" x14ac:dyDescent="0.25">
      <c r="A202" s="4"/>
      <c r="B202" s="4"/>
      <c r="C202" s="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39"/>
      <c r="AK202" s="39"/>
      <c r="AL202" s="39"/>
      <c r="AM202" s="39"/>
      <c r="AN202" s="39"/>
    </row>
    <row r="203" spans="1:40" x14ac:dyDescent="0.25">
      <c r="A203" s="4"/>
      <c r="B203" s="4"/>
      <c r="C203" s="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39"/>
      <c r="AK203" s="39"/>
      <c r="AL203" s="39"/>
      <c r="AM203" s="39"/>
      <c r="AN203" s="39"/>
    </row>
    <row r="204" spans="1:40" x14ac:dyDescent="0.25">
      <c r="A204" s="4"/>
      <c r="B204" s="4"/>
      <c r="C204" s="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39"/>
      <c r="AK204" s="39"/>
      <c r="AL204" s="39"/>
      <c r="AM204" s="39"/>
      <c r="AN204" s="39"/>
    </row>
    <row r="205" spans="1:40" x14ac:dyDescent="0.25">
      <c r="A205" s="4"/>
      <c r="B205" s="4"/>
      <c r="C205" s="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39"/>
      <c r="AK205" s="39"/>
      <c r="AL205" s="39"/>
      <c r="AM205" s="39"/>
      <c r="AN205" s="39"/>
    </row>
    <row r="206" spans="1:40" x14ac:dyDescent="0.25">
      <c r="A206" s="4"/>
      <c r="B206" s="4"/>
      <c r="C206" s="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39"/>
      <c r="AK206" s="39"/>
      <c r="AL206" s="39"/>
      <c r="AM206" s="39"/>
      <c r="AN206" s="39"/>
    </row>
    <row r="207" spans="1:40" x14ac:dyDescent="0.25">
      <c r="A207" s="4"/>
      <c r="B207" s="4"/>
      <c r="C207" s="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39"/>
      <c r="AK207" s="39"/>
      <c r="AL207" s="39"/>
      <c r="AM207" s="39"/>
      <c r="AN207" s="39"/>
    </row>
    <row r="208" spans="1:40" x14ac:dyDescent="0.25">
      <c r="A208" s="4"/>
      <c r="B208" s="4"/>
      <c r="C208" s="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39"/>
      <c r="AK208" s="39"/>
      <c r="AL208" s="39"/>
      <c r="AM208" s="39"/>
      <c r="AN208" s="39"/>
    </row>
    <row r="209" spans="1:40" x14ac:dyDescent="0.25">
      <c r="A209" s="4"/>
      <c r="B209" s="4"/>
      <c r="C209" s="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39"/>
      <c r="AK209" s="39"/>
      <c r="AL209" s="39"/>
      <c r="AM209" s="39"/>
      <c r="AN209" s="39"/>
    </row>
    <row r="210" spans="1:40" x14ac:dyDescent="0.25">
      <c r="A210" s="4"/>
      <c r="B210" s="4"/>
      <c r="C210" s="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39"/>
      <c r="AK210" s="39"/>
      <c r="AL210" s="39"/>
      <c r="AM210" s="39"/>
      <c r="AN210" s="39"/>
    </row>
    <row r="211" spans="1:40" x14ac:dyDescent="0.25">
      <c r="A211" s="4"/>
      <c r="B211" s="4"/>
      <c r="C211" s="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39"/>
      <c r="AK211" s="39"/>
      <c r="AL211" s="39"/>
      <c r="AM211" s="39"/>
      <c r="AN211" s="39"/>
    </row>
    <row r="212" spans="1:40" x14ac:dyDescent="0.25">
      <c r="A212" s="4"/>
      <c r="B212" s="4"/>
      <c r="C212" s="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39"/>
      <c r="AK212" s="39"/>
      <c r="AL212" s="39"/>
      <c r="AM212" s="39"/>
      <c r="AN212" s="39"/>
    </row>
    <row r="213" spans="1:40" x14ac:dyDescent="0.25">
      <c r="A213" s="4"/>
      <c r="B213" s="4"/>
      <c r="C213" s="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39"/>
      <c r="AK213" s="39"/>
      <c r="AL213" s="39"/>
      <c r="AM213" s="39"/>
      <c r="AN213" s="39"/>
    </row>
    <row r="214" spans="1:40" x14ac:dyDescent="0.25">
      <c r="A214" s="4"/>
      <c r="B214" s="4"/>
      <c r="C214" s="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39"/>
      <c r="AK214" s="39"/>
      <c r="AL214" s="39"/>
      <c r="AM214" s="39"/>
      <c r="AN214" s="39"/>
    </row>
    <row r="215" spans="1:40" x14ac:dyDescent="0.25">
      <c r="A215" s="4"/>
      <c r="B215" s="4"/>
      <c r="C215" s="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39"/>
      <c r="AK215" s="39"/>
      <c r="AL215" s="39"/>
      <c r="AM215" s="39"/>
      <c r="AN215" s="39"/>
    </row>
    <row r="216" spans="1:40" x14ac:dyDescent="0.25">
      <c r="A216" s="4"/>
      <c r="B216" s="4"/>
      <c r="C216" s="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39"/>
      <c r="AK216" s="39"/>
      <c r="AL216" s="39"/>
      <c r="AM216" s="39"/>
      <c r="AN216" s="39"/>
    </row>
    <row r="217" spans="1:40" x14ac:dyDescent="0.25">
      <c r="A217" s="4"/>
      <c r="B217" s="4"/>
      <c r="C217" s="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39"/>
      <c r="AK217" s="39"/>
      <c r="AL217" s="39"/>
      <c r="AM217" s="39"/>
      <c r="AN217" s="39"/>
    </row>
    <row r="218" spans="1:40" x14ac:dyDescent="0.25">
      <c r="A218" s="4"/>
      <c r="B218" s="4"/>
      <c r="C218" s="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39"/>
      <c r="AK218" s="39"/>
      <c r="AL218" s="39"/>
      <c r="AM218" s="39"/>
      <c r="AN218" s="39"/>
    </row>
    <row r="219" spans="1:40" x14ac:dyDescent="0.25">
      <c r="A219" s="4"/>
      <c r="B219" s="4"/>
      <c r="C219" s="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39"/>
      <c r="AK219" s="39"/>
      <c r="AL219" s="39"/>
      <c r="AM219" s="39"/>
      <c r="AN219" s="39"/>
    </row>
    <row r="220" spans="1:40" x14ac:dyDescent="0.25">
      <c r="A220" s="4"/>
      <c r="B220" s="4"/>
      <c r="C220" s="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39"/>
      <c r="AK220" s="39"/>
      <c r="AL220" s="39"/>
      <c r="AM220" s="39"/>
      <c r="AN220" s="39"/>
    </row>
    <row r="221" spans="1:40" x14ac:dyDescent="0.25">
      <c r="A221" s="4"/>
      <c r="B221" s="4"/>
      <c r="C221" s="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39"/>
      <c r="AK221" s="39"/>
      <c r="AL221" s="39"/>
      <c r="AM221" s="39"/>
      <c r="AN221" s="39"/>
    </row>
    <row r="222" spans="1:40" x14ac:dyDescent="0.25">
      <c r="A222" s="4"/>
      <c r="B222" s="4"/>
      <c r="C222" s="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39"/>
      <c r="AK222" s="39"/>
      <c r="AL222" s="39"/>
      <c r="AM222" s="39"/>
      <c r="AN222" s="39"/>
    </row>
    <row r="223" spans="1:40" x14ac:dyDescent="0.25">
      <c r="A223" s="4"/>
      <c r="B223" s="4"/>
      <c r="C223" s="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39"/>
      <c r="AK223" s="39"/>
      <c r="AL223" s="39"/>
      <c r="AM223" s="39"/>
      <c r="AN223" s="39"/>
    </row>
    <row r="224" spans="1:40" x14ac:dyDescent="0.25">
      <c r="A224" s="4"/>
      <c r="B224" s="4"/>
      <c r="C224" s="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39"/>
      <c r="AK224" s="39"/>
      <c r="AL224" s="39"/>
      <c r="AM224" s="39"/>
      <c r="AN224" s="39"/>
    </row>
    <row r="225" spans="1:40" x14ac:dyDescent="0.25">
      <c r="A225" s="4"/>
      <c r="B225" s="4"/>
      <c r="C225" s="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39"/>
      <c r="AK225" s="39"/>
      <c r="AL225" s="39"/>
      <c r="AM225" s="39"/>
      <c r="AN225" s="39"/>
    </row>
    <row r="226" spans="1:40" x14ac:dyDescent="0.25">
      <c r="A226" s="4"/>
      <c r="B226" s="4"/>
      <c r="C226" s="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39"/>
      <c r="AK226" s="39"/>
      <c r="AL226" s="39"/>
      <c r="AM226" s="39"/>
      <c r="AN226" s="39"/>
    </row>
    <row r="227" spans="1:40" x14ac:dyDescent="0.25">
      <c r="A227" s="4"/>
      <c r="B227" s="4"/>
      <c r="C227" s="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39"/>
      <c r="AK227" s="39"/>
      <c r="AL227" s="39"/>
      <c r="AM227" s="39"/>
      <c r="AN227" s="39"/>
    </row>
    <row r="228" spans="1:40" x14ac:dyDescent="0.25">
      <c r="A228" s="4"/>
      <c r="B228" s="4"/>
      <c r="C228" s="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39"/>
      <c r="AK228" s="39"/>
      <c r="AL228" s="39"/>
      <c r="AM228" s="39"/>
      <c r="AN228" s="39"/>
    </row>
    <row r="229" spans="1:40" x14ac:dyDescent="0.25">
      <c r="A229" s="4"/>
      <c r="B229" s="4"/>
      <c r="C229" s="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39"/>
      <c r="AK229" s="39"/>
      <c r="AL229" s="39"/>
      <c r="AM229" s="39"/>
      <c r="AN229" s="39"/>
    </row>
    <row r="230" spans="1:40" x14ac:dyDescent="0.25">
      <c r="A230" s="4"/>
      <c r="B230" s="4"/>
      <c r="C230" s="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39"/>
      <c r="AK230" s="39"/>
      <c r="AL230" s="39"/>
      <c r="AM230" s="39"/>
      <c r="AN230" s="39"/>
    </row>
    <row r="231" spans="1:40" x14ac:dyDescent="0.25">
      <c r="A231" s="4"/>
      <c r="B231" s="4"/>
      <c r="C231" s="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39"/>
      <c r="AK231" s="39"/>
      <c r="AL231" s="39"/>
      <c r="AM231" s="39"/>
      <c r="AN231" s="39"/>
    </row>
    <row r="232" spans="1:40" x14ac:dyDescent="0.25">
      <c r="A232" s="4"/>
      <c r="B232" s="4"/>
      <c r="C232" s="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39"/>
      <c r="AK232" s="39"/>
      <c r="AL232" s="39"/>
      <c r="AM232" s="39"/>
      <c r="AN232" s="39"/>
    </row>
    <row r="233" spans="1:40" x14ac:dyDescent="0.25">
      <c r="A233" s="4"/>
      <c r="B233" s="4"/>
      <c r="C233" s="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39"/>
      <c r="AK233" s="39"/>
      <c r="AL233" s="39"/>
      <c r="AM233" s="39"/>
      <c r="AN233" s="39"/>
    </row>
    <row r="234" spans="1:40" x14ac:dyDescent="0.25">
      <c r="A234" s="4"/>
      <c r="B234" s="4"/>
      <c r="C234" s="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39"/>
      <c r="AK234" s="39"/>
      <c r="AL234" s="39"/>
      <c r="AM234" s="39"/>
      <c r="AN234" s="39"/>
    </row>
    <row r="235" spans="1:40" x14ac:dyDescent="0.25">
      <c r="A235" s="4"/>
      <c r="B235" s="4"/>
      <c r="C235" s="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39"/>
      <c r="AK235" s="39"/>
      <c r="AL235" s="39"/>
      <c r="AM235" s="39"/>
      <c r="AN235" s="39"/>
    </row>
    <row r="236" spans="1:40" x14ac:dyDescent="0.25">
      <c r="A236" s="4"/>
      <c r="B236" s="4"/>
      <c r="C236" s="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39"/>
      <c r="AK236" s="39"/>
      <c r="AL236" s="39"/>
      <c r="AM236" s="39"/>
      <c r="AN236" s="39"/>
    </row>
    <row r="237" spans="1:40" x14ac:dyDescent="0.25">
      <c r="A237" s="4"/>
      <c r="B237" s="4"/>
      <c r="C237" s="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39"/>
      <c r="AK237" s="39"/>
      <c r="AL237" s="39"/>
      <c r="AM237" s="39"/>
      <c r="AN237" s="39"/>
    </row>
    <row r="238" spans="1:40" x14ac:dyDescent="0.25">
      <c r="A238" s="4"/>
      <c r="B238" s="4"/>
      <c r="C238" s="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39"/>
      <c r="AK238" s="39"/>
      <c r="AL238" s="39"/>
      <c r="AM238" s="39"/>
      <c r="AN238" s="39"/>
    </row>
    <row r="239" spans="1:40" x14ac:dyDescent="0.25">
      <c r="A239" s="4"/>
      <c r="B239" s="4"/>
      <c r="C239" s="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39"/>
      <c r="AK239" s="39"/>
      <c r="AL239" s="39"/>
      <c r="AM239" s="39"/>
      <c r="AN239" s="39"/>
    </row>
    <row r="240" spans="1:40" x14ac:dyDescent="0.25">
      <c r="A240" s="4"/>
      <c r="B240" s="4"/>
      <c r="C240" s="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39"/>
      <c r="AK240" s="39"/>
      <c r="AL240" s="39"/>
      <c r="AM240" s="39"/>
      <c r="AN240" s="39"/>
    </row>
    <row r="241" spans="1:40" x14ac:dyDescent="0.25">
      <c r="A241" s="4"/>
      <c r="B241" s="4"/>
      <c r="C241" s="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39"/>
      <c r="AK241" s="39"/>
      <c r="AL241" s="39"/>
      <c r="AM241" s="39"/>
      <c r="AN241" s="39"/>
    </row>
    <row r="242" spans="1:40" x14ac:dyDescent="0.25">
      <c r="A242" s="4"/>
      <c r="B242" s="4"/>
      <c r="C242" s="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39"/>
      <c r="AK242" s="39"/>
      <c r="AL242" s="39"/>
      <c r="AM242" s="39"/>
      <c r="AN242" s="39"/>
    </row>
    <row r="243" spans="1:40" x14ac:dyDescent="0.25">
      <c r="A243" s="4"/>
      <c r="B243" s="4"/>
      <c r="C243" s="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39"/>
      <c r="AK243" s="39"/>
      <c r="AL243" s="39"/>
      <c r="AM243" s="39"/>
      <c r="AN243" s="39"/>
    </row>
    <row r="244" spans="1:40" x14ac:dyDescent="0.25">
      <c r="A244" s="4"/>
      <c r="B244" s="4"/>
      <c r="C244" s="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39"/>
      <c r="AK244" s="39"/>
      <c r="AL244" s="39"/>
      <c r="AM244" s="39"/>
      <c r="AN244" s="39"/>
    </row>
    <row r="245" spans="1:40" x14ac:dyDescent="0.25">
      <c r="A245" s="4"/>
      <c r="B245" s="4"/>
      <c r="C245" s="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39"/>
      <c r="AK245" s="39"/>
      <c r="AL245" s="39"/>
      <c r="AM245" s="39"/>
      <c r="AN245" s="39"/>
    </row>
    <row r="246" spans="1:40" x14ac:dyDescent="0.25">
      <c r="A246" s="4"/>
      <c r="B246" s="4"/>
      <c r="C246" s="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39"/>
      <c r="AK246" s="39"/>
      <c r="AL246" s="39"/>
      <c r="AM246" s="39"/>
      <c r="AN246" s="39"/>
    </row>
    <row r="247" spans="1:40" x14ac:dyDescent="0.25">
      <c r="A247" s="4"/>
      <c r="B247" s="4"/>
      <c r="C247" s="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39"/>
      <c r="AK247" s="39"/>
      <c r="AL247" s="39"/>
      <c r="AM247" s="39"/>
      <c r="AN247" s="39"/>
    </row>
    <row r="248" spans="1:40" x14ac:dyDescent="0.25">
      <c r="A248" s="4"/>
      <c r="B248" s="4"/>
      <c r="C248" s="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39"/>
      <c r="AK248" s="39"/>
      <c r="AL248" s="39"/>
      <c r="AM248" s="39"/>
      <c r="AN248" s="39"/>
    </row>
    <row r="249" spans="1:40" x14ac:dyDescent="0.25">
      <c r="A249" s="4"/>
      <c r="B249" s="4"/>
      <c r="C249" s="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39"/>
      <c r="AK249" s="39"/>
      <c r="AL249" s="39"/>
      <c r="AM249" s="39"/>
      <c r="AN249" s="39"/>
    </row>
    <row r="250" spans="1:40" x14ac:dyDescent="0.25">
      <c r="A250" s="4"/>
      <c r="B250" s="4"/>
      <c r="C250" s="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39"/>
      <c r="AK250" s="39"/>
      <c r="AL250" s="39"/>
      <c r="AM250" s="39"/>
      <c r="AN250" s="39"/>
    </row>
    <row r="251" spans="1:40" x14ac:dyDescent="0.25">
      <c r="A251" s="4"/>
      <c r="B251" s="4"/>
      <c r="C251" s="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39"/>
      <c r="AK251" s="39"/>
      <c r="AL251" s="39"/>
      <c r="AM251" s="39"/>
      <c r="AN251" s="39"/>
    </row>
    <row r="252" spans="1:40" x14ac:dyDescent="0.25">
      <c r="A252" s="4"/>
      <c r="B252" s="4"/>
      <c r="C252" s="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39"/>
      <c r="AK252" s="39"/>
      <c r="AL252" s="39"/>
      <c r="AM252" s="39"/>
      <c r="AN252" s="39"/>
    </row>
    <row r="253" spans="1:40" x14ac:dyDescent="0.25">
      <c r="A253" s="4"/>
      <c r="B253" s="4"/>
      <c r="C253" s="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39"/>
      <c r="AK253" s="39"/>
      <c r="AL253" s="39"/>
      <c r="AM253" s="39"/>
      <c r="AN253" s="39"/>
    </row>
    <row r="254" spans="1:40" x14ac:dyDescent="0.25">
      <c r="A254" s="4"/>
      <c r="B254" s="4"/>
      <c r="C254" s="8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39"/>
      <c r="AK254" s="39"/>
      <c r="AL254" s="39"/>
      <c r="AM254" s="39"/>
      <c r="AN254" s="39"/>
    </row>
    <row r="255" spans="1:40" x14ac:dyDescent="0.25">
      <c r="A255" s="4"/>
      <c r="B255" s="4"/>
      <c r="C255" s="8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39"/>
      <c r="AK255" s="39"/>
      <c r="AL255" s="39"/>
      <c r="AM255" s="39"/>
      <c r="AN255" s="39"/>
    </row>
    <row r="256" spans="1:40" x14ac:dyDescent="0.25">
      <c r="A256" s="4"/>
      <c r="B256" s="4"/>
      <c r="C256" s="8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39"/>
      <c r="AK256" s="39"/>
      <c r="AL256" s="39"/>
      <c r="AM256" s="39"/>
      <c r="AN256" s="39"/>
    </row>
    <row r="257" spans="1:40" x14ac:dyDescent="0.25">
      <c r="A257" s="4"/>
      <c r="B257" s="4"/>
      <c r="C257" s="8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39"/>
      <c r="AK257" s="39"/>
      <c r="AL257" s="39"/>
      <c r="AM257" s="39"/>
      <c r="AN257" s="39"/>
    </row>
    <row r="258" spans="1:40" x14ac:dyDescent="0.25">
      <c r="A258" s="4"/>
      <c r="B258" s="4"/>
      <c r="C258" s="8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39"/>
      <c r="AK258" s="39"/>
      <c r="AL258" s="39"/>
      <c r="AM258" s="39"/>
      <c r="AN258" s="39"/>
    </row>
    <row r="259" spans="1:40" x14ac:dyDescent="0.25">
      <c r="A259" s="4"/>
      <c r="B259" s="4"/>
      <c r="C259" s="8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39"/>
      <c r="AK259" s="39"/>
      <c r="AL259" s="39"/>
      <c r="AM259" s="39"/>
      <c r="AN259" s="39"/>
    </row>
    <row r="260" spans="1:40" x14ac:dyDescent="0.25">
      <c r="A260" s="4"/>
      <c r="B260" s="4"/>
      <c r="C260" s="8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39"/>
      <c r="AK260" s="39"/>
      <c r="AL260" s="39"/>
      <c r="AM260" s="39"/>
      <c r="AN260" s="39"/>
    </row>
    <row r="261" spans="1:40" x14ac:dyDescent="0.25">
      <c r="A261" s="4"/>
      <c r="B261" s="4"/>
      <c r="C261" s="8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39"/>
      <c r="AK261" s="39"/>
      <c r="AL261" s="39"/>
      <c r="AM261" s="39"/>
      <c r="AN261" s="39"/>
    </row>
    <row r="262" spans="1:40" x14ac:dyDescent="0.25">
      <c r="A262" s="4"/>
      <c r="B262" s="4"/>
      <c r="C262" s="8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39"/>
      <c r="AK262" s="39"/>
      <c r="AL262" s="39"/>
      <c r="AM262" s="39"/>
      <c r="AN262" s="39"/>
    </row>
    <row r="263" spans="1:40" x14ac:dyDescent="0.25">
      <c r="A263" s="4"/>
      <c r="B263" s="4"/>
      <c r="C263" s="8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39"/>
      <c r="AK263" s="39"/>
      <c r="AL263" s="39"/>
      <c r="AM263" s="39"/>
      <c r="AN263" s="39"/>
    </row>
    <row r="264" spans="1:40" x14ac:dyDescent="0.25">
      <c r="A264" s="4"/>
      <c r="B264" s="4"/>
      <c r="C264" s="8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39"/>
      <c r="AK264" s="39"/>
      <c r="AL264" s="39"/>
      <c r="AM264" s="39"/>
      <c r="AN264" s="39"/>
    </row>
    <row r="265" spans="1:40" x14ac:dyDescent="0.25">
      <c r="A265" s="4"/>
      <c r="B265" s="4"/>
      <c r="C265" s="8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39"/>
      <c r="AK265" s="39"/>
      <c r="AL265" s="39"/>
      <c r="AM265" s="39"/>
      <c r="AN265" s="39"/>
    </row>
    <row r="266" spans="1:40" x14ac:dyDescent="0.25">
      <c r="C266" s="9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40" x14ac:dyDescent="0.25">
      <c r="C267" s="9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40" x14ac:dyDescent="0.25">
      <c r="C268" s="9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40" x14ac:dyDescent="0.25">
      <c r="C269" s="9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40" x14ac:dyDescent="0.25">
      <c r="C270" s="9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40" x14ac:dyDescent="0.25">
      <c r="C271" s="9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40" x14ac:dyDescent="0.25">
      <c r="C272" s="9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3:35" x14ac:dyDescent="0.25">
      <c r="C273" s="9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3:35" x14ac:dyDescent="0.25">
      <c r="C274" s="9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3:35" x14ac:dyDescent="0.25">
      <c r="C275" s="9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3:35" x14ac:dyDescent="0.25">
      <c r="C276" s="9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3:35" x14ac:dyDescent="0.25">
      <c r="C277" s="9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3:35" x14ac:dyDescent="0.25">
      <c r="C278" s="9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3:35" x14ac:dyDescent="0.25">
      <c r="C279" s="9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3:35" x14ac:dyDescent="0.25">
      <c r="C280" s="9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</row>
    <row r="281" spans="3:35" x14ac:dyDescent="0.25">
      <c r="C281" s="9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3:35" x14ac:dyDescent="0.25">
      <c r="C282" s="9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3:35" x14ac:dyDescent="0.25">
      <c r="C283" s="9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3:35" x14ac:dyDescent="0.25">
      <c r="C284" s="9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3:35" x14ac:dyDescent="0.25">
      <c r="C285" s="9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3:35" x14ac:dyDescent="0.25">
      <c r="C286" s="9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3:35" x14ac:dyDescent="0.25">
      <c r="C287" s="9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</row>
    <row r="288" spans="3:35" x14ac:dyDescent="0.25">
      <c r="C288" s="9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3:35" x14ac:dyDescent="0.25">
      <c r="C289" s="9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3:35" x14ac:dyDescent="0.25">
      <c r="C290" s="9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3:35" x14ac:dyDescent="0.25">
      <c r="C291" s="9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3:35" x14ac:dyDescent="0.25">
      <c r="C292" s="9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3:35" x14ac:dyDescent="0.25">
      <c r="C293" s="9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3:35" x14ac:dyDescent="0.25">
      <c r="C294" s="9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3:35" x14ac:dyDescent="0.25">
      <c r="C295" s="9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3:35" x14ac:dyDescent="0.25">
      <c r="C296" s="9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3:35" x14ac:dyDescent="0.25">
      <c r="C297" s="9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3:35" x14ac:dyDescent="0.25">
      <c r="C298" s="9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</row>
    <row r="299" spans="3:35" x14ac:dyDescent="0.25">
      <c r="C299" s="9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3:35" x14ac:dyDescent="0.25">
      <c r="C300" s="9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</row>
    <row r="301" spans="3:35" x14ac:dyDescent="0.25">
      <c r="C301" s="9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3:35" x14ac:dyDescent="0.25">
      <c r="C302" s="9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</row>
  </sheetData>
  <hyperlinks>
    <hyperlink ref="B2" r:id="rId1"/>
    <hyperlink ref="B4" r:id="rId2"/>
    <hyperlink ref="B5" r:id="rId3"/>
    <hyperlink ref="B3" r:id="rId4" display="http://www.techo.org/paises/brasil/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</hyperlinks>
  <pageMargins left="0.511811024" right="0.511811024" top="0.78740157499999996" bottom="0.78740157499999996" header="0.31496062000000002" footer="0.31496062000000002"/>
  <pageSetup paperSize="119" orientation="portrait" r:id="rId10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0"/>
  <sheetViews>
    <sheetView topLeftCell="A4" zoomScale="63" zoomScaleNormal="63" workbookViewId="0">
      <selection activeCell="J1" sqref="J1"/>
    </sheetView>
  </sheetViews>
  <sheetFormatPr defaultRowHeight="15" x14ac:dyDescent="0.25"/>
  <cols>
    <col min="1" max="1" width="27.7109375" style="1" customWidth="1"/>
    <col min="2" max="3" width="22.28515625" customWidth="1"/>
    <col min="4" max="4" width="21.28515625" customWidth="1"/>
    <col min="5" max="5" width="21.140625" customWidth="1"/>
    <col min="6" max="9" width="17.85546875" customWidth="1"/>
    <col min="10" max="10" width="19.85546875" style="40" customWidth="1"/>
    <col min="11" max="14" width="17.85546875" style="40" customWidth="1"/>
    <col min="15" max="18" width="17.85546875" customWidth="1"/>
    <col min="19" max="22" width="17.85546875" hidden="1" customWidth="1"/>
    <col min="23" max="24" width="15.5703125" style="40" customWidth="1"/>
    <col min="25" max="25" width="24.7109375" style="40" customWidth="1"/>
    <col min="26" max="26" width="11.5703125" style="40" customWidth="1"/>
    <col min="27" max="27" width="22.140625" style="40" bestFit="1" customWidth="1"/>
  </cols>
  <sheetData>
    <row r="1" spans="1:27" s="3" customFormat="1" ht="213" customHeight="1" x14ac:dyDescent="0.25">
      <c r="A1" s="6" t="s">
        <v>12</v>
      </c>
      <c r="B1" s="2" t="s">
        <v>343</v>
      </c>
      <c r="C1" s="2" t="s">
        <v>344</v>
      </c>
      <c r="D1" s="2" t="s">
        <v>345</v>
      </c>
      <c r="E1" s="2" t="s">
        <v>346</v>
      </c>
      <c r="F1" s="2" t="s">
        <v>351</v>
      </c>
      <c r="G1" s="2" t="s">
        <v>352</v>
      </c>
      <c r="H1" s="2" t="s">
        <v>353</v>
      </c>
      <c r="I1" s="2" t="s">
        <v>354</v>
      </c>
      <c r="J1" s="37" t="s">
        <v>392</v>
      </c>
      <c r="K1" s="37" t="s">
        <v>393</v>
      </c>
      <c r="L1" s="37" t="s">
        <v>385</v>
      </c>
      <c r="M1" s="37" t="s">
        <v>386</v>
      </c>
      <c r="N1" s="37" t="s">
        <v>387</v>
      </c>
      <c r="O1" s="2" t="s">
        <v>355</v>
      </c>
      <c r="P1" s="2" t="s">
        <v>356</v>
      </c>
      <c r="Q1" s="2" t="s">
        <v>357</v>
      </c>
      <c r="R1" s="2" t="s">
        <v>358</v>
      </c>
      <c r="S1" s="2" t="s">
        <v>76</v>
      </c>
      <c r="T1" s="2" t="s">
        <v>77</v>
      </c>
      <c r="U1" s="2" t="s">
        <v>78</v>
      </c>
      <c r="V1" s="2" t="s">
        <v>79</v>
      </c>
      <c r="W1" s="37" t="s">
        <v>15</v>
      </c>
      <c r="X1" s="37" t="s">
        <v>16</v>
      </c>
      <c r="Y1" s="38" t="s">
        <v>359</v>
      </c>
      <c r="Z1" s="37" t="s">
        <v>3</v>
      </c>
      <c r="AA1" s="37" t="s">
        <v>4</v>
      </c>
    </row>
    <row r="2" spans="1:27" s="15" customFormat="1" ht="30" x14ac:dyDescent="0.25">
      <c r="A2" s="11" t="s">
        <v>29</v>
      </c>
      <c r="B2" s="14">
        <f>621054.58+436319.5</f>
        <v>1057374.08</v>
      </c>
      <c r="C2" s="14">
        <v>1617713.15</v>
      </c>
      <c r="D2" s="14">
        <v>2004589.11</v>
      </c>
      <c r="E2" s="14">
        <v>1779549.14</v>
      </c>
      <c r="F2" s="14">
        <v>621054.57999999996</v>
      </c>
      <c r="G2" s="14">
        <v>685706.49</v>
      </c>
      <c r="H2" s="14">
        <v>994030.11</v>
      </c>
      <c r="I2" s="14">
        <v>698220.46</v>
      </c>
      <c r="J2" s="64">
        <f t="shared" ref="J2:J23" si="0">SUM(B2:E2)</f>
        <v>6459225.4799999995</v>
      </c>
      <c r="K2" s="64">
        <f t="shared" ref="K2:K23" si="1">SUM(F2:I2)</f>
        <v>2999011.6399999997</v>
      </c>
      <c r="L2" s="65">
        <f>K2/J2</f>
        <v>0.46429895492671358</v>
      </c>
      <c r="M2" s="64">
        <f>SUM(O2:R2)</f>
        <v>3460213.76</v>
      </c>
      <c r="N2" s="65">
        <f>M2/J2</f>
        <v>0.53570103268790059</v>
      </c>
      <c r="O2" s="14">
        <v>436319.5</v>
      </c>
      <c r="P2" s="14">
        <v>932006.66</v>
      </c>
      <c r="Q2" s="14">
        <v>1010558.92</v>
      </c>
      <c r="R2" s="14">
        <v>1081328.68</v>
      </c>
      <c r="S2" s="14"/>
      <c r="T2" s="14"/>
      <c r="U2" s="14"/>
      <c r="V2" s="14"/>
      <c r="W2" s="39">
        <v>2005</v>
      </c>
      <c r="X2" s="39">
        <f t="shared" ref="X2:X19" si="2">2021-W2</f>
        <v>16</v>
      </c>
      <c r="Y2" s="39">
        <v>2</v>
      </c>
      <c r="Z2" s="39">
        <v>1</v>
      </c>
      <c r="AA2" s="39" t="s">
        <v>30</v>
      </c>
    </row>
    <row r="3" spans="1:27" s="15" customFormat="1" ht="45" x14ac:dyDescent="0.25">
      <c r="A3" s="11" t="s">
        <v>41</v>
      </c>
      <c r="B3" s="14">
        <v>1094376.68</v>
      </c>
      <c r="C3" s="14">
        <f>674635.04+107168.51+105192.17</f>
        <v>886995.72000000009</v>
      </c>
      <c r="D3" s="14">
        <v>1145744.24</v>
      </c>
      <c r="E3" s="14">
        <v>1123478.67</v>
      </c>
      <c r="F3" s="14">
        <v>179103.7</v>
      </c>
      <c r="G3" s="14">
        <v>105192.17</v>
      </c>
      <c r="H3" s="14">
        <v>136624.01999999999</v>
      </c>
      <c r="I3" s="14">
        <v>142047.41</v>
      </c>
      <c r="J3" s="64">
        <f t="shared" si="0"/>
        <v>4250595.3099999996</v>
      </c>
      <c r="K3" s="64">
        <f t="shared" si="1"/>
        <v>562967.30000000005</v>
      </c>
      <c r="L3" s="65">
        <f t="shared" ref="L3:L23" si="3">K3/J3</f>
        <v>0.13244434224908608</v>
      </c>
      <c r="M3" s="64">
        <f t="shared" ref="M3:M23" si="4">SUM(O3:R3)</f>
        <v>3687628.01</v>
      </c>
      <c r="N3" s="65">
        <f t="shared" ref="N3:N23" si="5">M3/J3</f>
        <v>0.86755565775091403</v>
      </c>
      <c r="O3" s="14">
        <f>B3-F3</f>
        <v>915272.98</v>
      </c>
      <c r="P3" s="14">
        <f>C3-G3</f>
        <v>781803.55</v>
      </c>
      <c r="Q3" s="14">
        <f>D3-H3</f>
        <v>1009120.22</v>
      </c>
      <c r="R3" s="14">
        <f>E3-I3</f>
        <v>981431.25999999989</v>
      </c>
      <c r="S3" s="14"/>
      <c r="T3" s="14"/>
      <c r="U3" s="14"/>
      <c r="V3" s="14"/>
      <c r="W3" s="39">
        <v>1999</v>
      </c>
      <c r="X3" s="39">
        <f t="shared" si="2"/>
        <v>22</v>
      </c>
      <c r="Y3" s="39">
        <v>3</v>
      </c>
      <c r="Z3" s="39">
        <v>1</v>
      </c>
      <c r="AA3" s="39" t="s">
        <v>42</v>
      </c>
    </row>
    <row r="4" spans="1:27" s="15" customFormat="1" ht="30" x14ac:dyDescent="0.25">
      <c r="A4" s="11" t="s">
        <v>49</v>
      </c>
      <c r="B4" s="14">
        <v>23072129</v>
      </c>
      <c r="C4" s="14">
        <v>21609238</v>
      </c>
      <c r="D4" s="14">
        <v>24466398</v>
      </c>
      <c r="E4" s="14">
        <v>30209966</v>
      </c>
      <c r="F4" s="14">
        <f>10342670</f>
        <v>10342670</v>
      </c>
      <c r="G4" s="14">
        <v>8216662</v>
      </c>
      <c r="H4" s="14">
        <f>9390574</f>
        <v>9390574</v>
      </c>
      <c r="I4" s="14">
        <v>16355899</v>
      </c>
      <c r="J4" s="64">
        <f t="shared" si="0"/>
        <v>99357731</v>
      </c>
      <c r="K4" s="64">
        <f t="shared" si="1"/>
        <v>44305805</v>
      </c>
      <c r="L4" s="65">
        <f t="shared" si="3"/>
        <v>0.44592206921472471</v>
      </c>
      <c r="M4" s="64">
        <f>SUM(O4:R4)</f>
        <v>55051926</v>
      </c>
      <c r="N4" s="65">
        <f t="shared" si="5"/>
        <v>0.55407793078527523</v>
      </c>
      <c r="O4" s="14">
        <f>11333187+163120</f>
        <v>11496307</v>
      </c>
      <c r="P4" s="14">
        <f>107801+12478541</f>
        <v>12586342</v>
      </c>
      <c r="Q4" s="14">
        <f>14304178+130372+49554</f>
        <v>14484104</v>
      </c>
      <c r="R4" s="87">
        <f>94799+13537890+2852484</f>
        <v>16485173</v>
      </c>
      <c r="S4" s="14"/>
      <c r="T4" s="14"/>
      <c r="U4" s="14"/>
      <c r="V4" s="14"/>
      <c r="W4" s="39">
        <v>1965</v>
      </c>
      <c r="X4" s="39">
        <f t="shared" si="2"/>
        <v>56</v>
      </c>
      <c r="Y4" s="39">
        <v>1</v>
      </c>
      <c r="Z4" s="39">
        <v>1</v>
      </c>
      <c r="AA4" s="39" t="s">
        <v>51</v>
      </c>
    </row>
    <row r="5" spans="1:27" s="15" customFormat="1" x14ac:dyDescent="0.25">
      <c r="A5" s="11" t="s">
        <v>55</v>
      </c>
      <c r="B5" s="14">
        <f>2482666</f>
        <v>2482666</v>
      </c>
      <c r="C5" s="14">
        <v>3428377</v>
      </c>
      <c r="D5" s="14">
        <f>3284348+13617</f>
        <v>3297965</v>
      </c>
      <c r="E5" s="14">
        <v>2210088</v>
      </c>
      <c r="F5" s="14">
        <v>251688</v>
      </c>
      <c r="G5" s="14">
        <v>425674</v>
      </c>
      <c r="H5" s="14">
        <v>310782</v>
      </c>
      <c r="I5" s="14">
        <v>121827</v>
      </c>
      <c r="J5" s="64">
        <f t="shared" si="0"/>
        <v>11419096</v>
      </c>
      <c r="K5" s="64">
        <f t="shared" si="1"/>
        <v>1109971</v>
      </c>
      <c r="L5" s="65">
        <f t="shared" si="3"/>
        <v>9.7203053551699711E-2</v>
      </c>
      <c r="M5" s="64">
        <f t="shared" si="4"/>
        <v>10309125</v>
      </c>
      <c r="N5" s="65">
        <f t="shared" si="5"/>
        <v>0.90279694644830033</v>
      </c>
      <c r="O5" s="14">
        <v>2482666</v>
      </c>
      <c r="P5" s="14">
        <v>3002703</v>
      </c>
      <c r="Q5" s="14">
        <v>2973566</v>
      </c>
      <c r="R5" s="87">
        <f>2088261-238071</f>
        <v>1850190</v>
      </c>
      <c r="S5" s="14"/>
      <c r="T5" s="14"/>
      <c r="U5" s="14"/>
      <c r="V5" s="14"/>
      <c r="W5" s="39">
        <v>2006</v>
      </c>
      <c r="X5" s="39">
        <f t="shared" si="2"/>
        <v>15</v>
      </c>
      <c r="Y5" s="39">
        <v>3</v>
      </c>
      <c r="Z5" s="39">
        <v>1</v>
      </c>
      <c r="AA5" s="39" t="s">
        <v>5</v>
      </c>
    </row>
    <row r="6" spans="1:27" s="15" customFormat="1" ht="75" x14ac:dyDescent="0.25">
      <c r="A6" s="11" t="s">
        <v>64</v>
      </c>
      <c r="B6" s="14">
        <f>4051081.48+4129841.43</f>
        <v>8180922.9100000001</v>
      </c>
      <c r="C6" s="14">
        <f>3187272.36+4717783.8</f>
        <v>7905056.1600000001</v>
      </c>
      <c r="D6" s="14">
        <v>9265069.7699999996</v>
      </c>
      <c r="E6" s="14">
        <v>8623485.0299999993</v>
      </c>
      <c r="F6" s="14">
        <v>4051081.48</v>
      </c>
      <c r="G6" s="14">
        <v>3187272.36</v>
      </c>
      <c r="H6" s="14">
        <v>4949750.96</v>
      </c>
      <c r="I6" s="14">
        <v>3774057.79</v>
      </c>
      <c r="J6" s="64">
        <f t="shared" si="0"/>
        <v>33974533.869999997</v>
      </c>
      <c r="K6" s="64">
        <f t="shared" si="1"/>
        <v>15962162.59</v>
      </c>
      <c r="L6" s="65">
        <f t="shared" si="3"/>
        <v>0.46982727271778169</v>
      </c>
      <c r="M6" s="64">
        <f t="shared" si="4"/>
        <v>18012370.809999999</v>
      </c>
      <c r="N6" s="65">
        <f t="shared" si="5"/>
        <v>0.53017271344832728</v>
      </c>
      <c r="O6" s="14">
        <f>4129841.43-265845.71</f>
        <v>3863995.72</v>
      </c>
      <c r="P6" s="14">
        <f>4717783.8-142850.86</f>
        <v>4574932.9399999995</v>
      </c>
      <c r="Q6" s="14">
        <f>4315318.81-103717.95</f>
        <v>4211600.8599999994</v>
      </c>
      <c r="R6" s="87">
        <f>4849427.24-40209.66+552623.71</f>
        <v>5361841.29</v>
      </c>
      <c r="S6" s="14"/>
      <c r="T6" s="14"/>
      <c r="U6" s="14"/>
      <c r="V6" s="14"/>
      <c r="W6" s="39">
        <v>1773</v>
      </c>
      <c r="X6" s="39">
        <f t="shared" si="2"/>
        <v>248</v>
      </c>
      <c r="Y6" s="39">
        <v>1</v>
      </c>
      <c r="Z6" s="39">
        <v>1</v>
      </c>
      <c r="AA6" s="39" t="s">
        <v>66</v>
      </c>
    </row>
    <row r="7" spans="1:27" ht="45" x14ac:dyDescent="0.25">
      <c r="A7" s="4" t="s">
        <v>88</v>
      </c>
      <c r="B7" s="5">
        <f>1390299</f>
        <v>1390299</v>
      </c>
      <c r="C7" s="5">
        <v>2612363</v>
      </c>
      <c r="D7" s="5">
        <v>3392407</v>
      </c>
      <c r="E7" s="5">
        <v>3873235</v>
      </c>
      <c r="F7" s="5">
        <v>62650</v>
      </c>
      <c r="G7" s="5">
        <v>590860</v>
      </c>
      <c r="H7" s="5">
        <v>1619734</v>
      </c>
      <c r="I7" s="5">
        <v>1254068</v>
      </c>
      <c r="J7" s="64">
        <f t="shared" si="0"/>
        <v>11268304</v>
      </c>
      <c r="K7" s="64">
        <f t="shared" si="1"/>
        <v>3527312</v>
      </c>
      <c r="L7" s="65">
        <f t="shared" si="3"/>
        <v>0.31302953842920817</v>
      </c>
      <c r="M7" s="64">
        <f t="shared" si="4"/>
        <v>7740992</v>
      </c>
      <c r="N7" s="65">
        <f t="shared" si="5"/>
        <v>0.68697046157079189</v>
      </c>
      <c r="O7" s="5">
        <f>1390299-62650</f>
        <v>1327649</v>
      </c>
      <c r="P7" s="5">
        <f>2612363-590860</f>
        <v>2021503</v>
      </c>
      <c r="Q7" s="5">
        <f>3392407-1619734</f>
        <v>1772673</v>
      </c>
      <c r="R7" s="5">
        <f>3873235-1254068</f>
        <v>2619167</v>
      </c>
      <c r="S7" s="5"/>
      <c r="T7" s="5"/>
      <c r="U7" s="5"/>
      <c r="V7" s="5"/>
      <c r="W7" s="39">
        <v>1995</v>
      </c>
      <c r="X7" s="39">
        <f t="shared" si="2"/>
        <v>26</v>
      </c>
      <c r="Y7" s="39">
        <v>1</v>
      </c>
      <c r="Z7" s="39">
        <v>1</v>
      </c>
      <c r="AA7" s="39" t="s">
        <v>5</v>
      </c>
    </row>
    <row r="8" spans="1:27" x14ac:dyDescent="0.25">
      <c r="A8" s="4" t="s">
        <v>156</v>
      </c>
      <c r="B8" s="5">
        <f>1960401+118062</f>
        <v>2078463</v>
      </c>
      <c r="C8" s="5">
        <f>1737661+33059</f>
        <v>1770720</v>
      </c>
      <c r="D8" s="5">
        <f>2496370+25773</f>
        <v>2522143</v>
      </c>
      <c r="E8" s="5">
        <f>2470555+17036</f>
        <v>2487591</v>
      </c>
      <c r="F8" s="5">
        <v>854516</v>
      </c>
      <c r="G8" s="5">
        <v>547328</v>
      </c>
      <c r="H8" s="5">
        <v>1121591</v>
      </c>
      <c r="I8" s="5">
        <v>833899</v>
      </c>
      <c r="J8" s="64">
        <f t="shared" si="0"/>
        <v>8858917</v>
      </c>
      <c r="K8" s="64">
        <f t="shared" si="1"/>
        <v>3357334</v>
      </c>
      <c r="L8" s="65">
        <f t="shared" si="3"/>
        <v>0.37897792698588328</v>
      </c>
      <c r="M8" s="64">
        <f t="shared" si="4"/>
        <v>5501582.6200000001</v>
      </c>
      <c r="N8" s="65">
        <f t="shared" si="5"/>
        <v>0.62102203011948298</v>
      </c>
      <c r="O8" s="5">
        <v>1105885</v>
      </c>
      <c r="P8" s="5">
        <v>1190333</v>
      </c>
      <c r="Q8" s="5">
        <v>1374779</v>
      </c>
      <c r="R8" s="5">
        <f>1636656+193929.62</f>
        <v>1830585.62</v>
      </c>
      <c r="S8" s="5"/>
      <c r="T8" s="5"/>
      <c r="U8" s="5"/>
      <c r="V8" s="5"/>
      <c r="W8" s="39">
        <v>2011</v>
      </c>
      <c r="X8" s="39">
        <f t="shared" si="2"/>
        <v>10</v>
      </c>
      <c r="Y8" s="39">
        <v>1</v>
      </c>
      <c r="Z8" s="39">
        <v>1</v>
      </c>
      <c r="AA8" s="39" t="s">
        <v>5</v>
      </c>
    </row>
    <row r="9" spans="1:27" ht="41.45" customHeight="1" x14ac:dyDescent="0.25">
      <c r="A9" s="4" t="s">
        <v>163</v>
      </c>
      <c r="B9" s="5">
        <f>2201922+1913025</f>
        <v>4114947</v>
      </c>
      <c r="C9" s="5">
        <f>5002565</f>
        <v>5002565</v>
      </c>
      <c r="D9" s="5">
        <f>3797220</f>
        <v>3797220</v>
      </c>
      <c r="E9" s="5">
        <f>4486622</f>
        <v>4486622</v>
      </c>
      <c r="F9" s="5">
        <v>2201922</v>
      </c>
      <c r="G9" s="5">
        <v>3053026</v>
      </c>
      <c r="H9" s="5">
        <v>1896604</v>
      </c>
      <c r="I9" s="5">
        <v>1499082</v>
      </c>
      <c r="J9" s="64">
        <f t="shared" si="0"/>
        <v>17401354</v>
      </c>
      <c r="K9" s="64">
        <f t="shared" si="1"/>
        <v>8650634</v>
      </c>
      <c r="L9" s="65">
        <f t="shared" si="3"/>
        <v>0.49712418930159114</v>
      </c>
      <c r="M9" s="64">
        <f t="shared" si="4"/>
        <v>8750720</v>
      </c>
      <c r="N9" s="65">
        <f t="shared" si="5"/>
        <v>0.50287581069840892</v>
      </c>
      <c r="O9" s="5">
        <f>1913025</f>
        <v>1913025</v>
      </c>
      <c r="P9" s="5">
        <f>1949539</f>
        <v>1949539</v>
      </c>
      <c r="Q9" s="5">
        <f>1900616</f>
        <v>1900616</v>
      </c>
      <c r="R9" s="5">
        <f>2987540</f>
        <v>2987540</v>
      </c>
      <c r="S9" s="5"/>
      <c r="T9" s="5"/>
      <c r="U9" s="5"/>
      <c r="V9" s="5"/>
      <c r="W9" s="39">
        <v>2001</v>
      </c>
      <c r="X9" s="39">
        <f t="shared" si="2"/>
        <v>20</v>
      </c>
      <c r="Y9" s="39">
        <v>4</v>
      </c>
      <c r="Z9" s="39">
        <v>1</v>
      </c>
      <c r="AA9" s="39" t="s">
        <v>5</v>
      </c>
    </row>
    <row r="10" spans="1:27" ht="30" x14ac:dyDescent="0.25">
      <c r="A10" s="4" t="s">
        <v>165</v>
      </c>
      <c r="B10" s="5">
        <f>11341985+62282</f>
        <v>11404267</v>
      </c>
      <c r="C10" s="5">
        <v>10431914</v>
      </c>
      <c r="D10" s="5">
        <f>10688275</f>
        <v>10688275</v>
      </c>
      <c r="E10" s="5">
        <f>11357298</f>
        <v>11357298</v>
      </c>
      <c r="F10" s="5">
        <f>277136+8113432</f>
        <v>8390568</v>
      </c>
      <c r="G10" s="5">
        <f>1791413+6449861</f>
        <v>8241274</v>
      </c>
      <c r="H10" s="5">
        <v>6737811</v>
      </c>
      <c r="I10" s="5">
        <v>5527121</v>
      </c>
      <c r="J10" s="64">
        <f t="shared" si="0"/>
        <v>43881754</v>
      </c>
      <c r="K10" s="64">
        <f t="shared" si="1"/>
        <v>28896774</v>
      </c>
      <c r="L10" s="65">
        <f t="shared" si="3"/>
        <v>0.65851456165585365</v>
      </c>
      <c r="M10" s="64">
        <f t="shared" si="4"/>
        <v>14984980</v>
      </c>
      <c r="N10" s="65">
        <f t="shared" si="5"/>
        <v>0.34148543834414641</v>
      </c>
      <c r="O10" s="5">
        <f>2951417+62282</f>
        <v>3013699</v>
      </c>
      <c r="P10" s="5">
        <v>2190640</v>
      </c>
      <c r="Q10" s="5">
        <f>3944824+5640</f>
        <v>3950464</v>
      </c>
      <c r="R10" s="5">
        <f>5822991+7186</f>
        <v>5830177</v>
      </c>
      <c r="S10" s="5"/>
      <c r="T10" s="5"/>
      <c r="U10" s="5"/>
      <c r="V10" s="5"/>
      <c r="W10" s="39">
        <v>1978</v>
      </c>
      <c r="X10" s="39">
        <f t="shared" si="2"/>
        <v>43</v>
      </c>
      <c r="Y10" s="39">
        <v>1</v>
      </c>
      <c r="Z10" s="39">
        <v>1</v>
      </c>
      <c r="AA10" s="39" t="s">
        <v>166</v>
      </c>
    </row>
    <row r="11" spans="1:27" ht="30" x14ac:dyDescent="0.25">
      <c r="A11" s="4" t="s">
        <v>168</v>
      </c>
      <c r="B11" s="5">
        <f>51878659.07</f>
        <v>51878659.07</v>
      </c>
      <c r="C11" s="5">
        <f>50313064.34</f>
        <v>50313064.340000004</v>
      </c>
      <c r="D11" s="5">
        <f>50583475.96+1225837.86</f>
        <v>51809313.82</v>
      </c>
      <c r="E11" s="5">
        <f>30977688.03+246534.73</f>
        <v>31224222.760000002</v>
      </c>
      <c r="F11" s="5">
        <v>6202852.2800000003</v>
      </c>
      <c r="G11" s="5">
        <v>6555081.9400000004</v>
      </c>
      <c r="H11" s="5">
        <v>6488885.0099999998</v>
      </c>
      <c r="I11" s="5">
        <v>6253222.4000000004</v>
      </c>
      <c r="J11" s="64">
        <f t="shared" si="0"/>
        <v>185225259.98999998</v>
      </c>
      <c r="K11" s="64">
        <f t="shared" si="1"/>
        <v>25500041.630000003</v>
      </c>
      <c r="L11" s="65">
        <f t="shared" si="3"/>
        <v>0.13767043237718607</v>
      </c>
      <c r="M11" s="64">
        <f t="shared" si="4"/>
        <v>159725218.36000001</v>
      </c>
      <c r="N11" s="65">
        <f t="shared" si="5"/>
        <v>0.8623295676228141</v>
      </c>
      <c r="O11" s="5">
        <f>45675806.79</f>
        <v>45675806.789999999</v>
      </c>
      <c r="P11" s="5">
        <f>43757982.4</f>
        <v>43757982.399999999</v>
      </c>
      <c r="Q11" s="5">
        <f>559530.96+39142298.24+4290958.83+101802.92+1225837.86</f>
        <v>45320428.810000002</v>
      </c>
      <c r="R11" s="5">
        <f>404550.14+24258716.74+61198.75+246534.73</f>
        <v>24971000.359999999</v>
      </c>
      <c r="S11" s="5"/>
      <c r="T11" s="5"/>
      <c r="U11" s="5"/>
      <c r="V11" s="5"/>
      <c r="W11" s="39">
        <v>1963</v>
      </c>
      <c r="X11" s="39">
        <f t="shared" si="2"/>
        <v>58</v>
      </c>
      <c r="Y11" s="39">
        <v>1</v>
      </c>
      <c r="Z11" s="39">
        <v>1</v>
      </c>
      <c r="AA11" s="39" t="s">
        <v>171</v>
      </c>
    </row>
    <row r="12" spans="1:27" ht="45" x14ac:dyDescent="0.25">
      <c r="A12" s="4" t="s">
        <v>180</v>
      </c>
      <c r="B12" s="5">
        <f>80517582</f>
        <v>80517582</v>
      </c>
      <c r="C12" s="5">
        <f>84392183</f>
        <v>84392183</v>
      </c>
      <c r="D12" s="5">
        <f>87229546</f>
        <v>87229546</v>
      </c>
      <c r="E12" s="5">
        <f>89600590</f>
        <v>89600590</v>
      </c>
      <c r="F12" s="5">
        <v>4294875</v>
      </c>
      <c r="G12" s="5">
        <v>6325483</v>
      </c>
      <c r="H12" s="5">
        <v>5431974</v>
      </c>
      <c r="I12" s="5">
        <v>7553021</v>
      </c>
      <c r="J12" s="64">
        <f t="shared" si="0"/>
        <v>341739901</v>
      </c>
      <c r="K12" s="64">
        <f t="shared" si="1"/>
        <v>23605353</v>
      </c>
      <c r="L12" s="65">
        <f t="shared" si="3"/>
        <v>6.9074032417420286E-2</v>
      </c>
      <c r="M12" s="64">
        <f t="shared" si="4"/>
        <v>318134553</v>
      </c>
      <c r="N12" s="65">
        <f t="shared" si="5"/>
        <v>0.93092598221359002</v>
      </c>
      <c r="O12" s="5">
        <f>80517582-4294875</f>
        <v>76222707</v>
      </c>
      <c r="P12" s="5">
        <f>84392188-6325483</f>
        <v>78066705</v>
      </c>
      <c r="Q12" s="5">
        <f>87229546-5431974</f>
        <v>81797572</v>
      </c>
      <c r="R12" s="5">
        <f>89600590-7553021</f>
        <v>82047569</v>
      </c>
      <c r="S12" s="5"/>
      <c r="T12" s="5"/>
      <c r="U12" s="5"/>
      <c r="V12" s="5"/>
      <c r="W12" s="39">
        <v>1980</v>
      </c>
      <c r="X12" s="39">
        <f t="shared" si="2"/>
        <v>41</v>
      </c>
      <c r="Y12" s="39">
        <v>3</v>
      </c>
      <c r="Z12" s="39">
        <v>1</v>
      </c>
      <c r="AA12" s="39" t="s">
        <v>181</v>
      </c>
    </row>
    <row r="13" spans="1:27" s="15" customFormat="1" x14ac:dyDescent="0.25">
      <c r="A13" s="11" t="s">
        <v>197</v>
      </c>
      <c r="B13" s="14">
        <f>7309695+379981+2744902</f>
        <v>10434578</v>
      </c>
      <c r="C13" s="14">
        <f>9131200</f>
        <v>9131200</v>
      </c>
      <c r="D13" s="14">
        <f>10519166</f>
        <v>10519166</v>
      </c>
      <c r="E13" s="14">
        <v>10192469</v>
      </c>
      <c r="F13" s="14">
        <v>7689676</v>
      </c>
      <c r="G13" s="14">
        <v>7039364</v>
      </c>
      <c r="H13" s="14">
        <v>7971142</v>
      </c>
      <c r="I13" s="14">
        <v>7245338</v>
      </c>
      <c r="J13" s="64">
        <f t="shared" si="0"/>
        <v>40277413</v>
      </c>
      <c r="K13" s="64">
        <f t="shared" si="1"/>
        <v>29945520</v>
      </c>
      <c r="L13" s="65">
        <f t="shared" si="3"/>
        <v>0.74348171269093177</v>
      </c>
      <c r="M13" s="64">
        <f t="shared" si="4"/>
        <v>10322934</v>
      </c>
      <c r="N13" s="65">
        <f t="shared" si="5"/>
        <v>0.25629585494977047</v>
      </c>
      <c r="O13" s="14">
        <f>2744902-24677</f>
        <v>2720225</v>
      </c>
      <c r="P13" s="14">
        <f>2091835--49697</f>
        <v>2141532</v>
      </c>
      <c r="Q13" s="14">
        <f>2548025-33980</f>
        <v>2514045</v>
      </c>
      <c r="R13" s="14">
        <v>2947132</v>
      </c>
      <c r="S13" s="14"/>
      <c r="T13" s="14"/>
      <c r="U13" s="14"/>
      <c r="V13" s="14"/>
      <c r="W13" s="44">
        <v>1998</v>
      </c>
      <c r="X13" s="44">
        <f t="shared" si="2"/>
        <v>23</v>
      </c>
      <c r="Y13" s="44">
        <v>2</v>
      </c>
      <c r="Z13" s="44">
        <v>2</v>
      </c>
      <c r="AA13" s="44" t="s">
        <v>5</v>
      </c>
    </row>
    <row r="14" spans="1:27" s="15" customFormat="1" ht="30" x14ac:dyDescent="0.25">
      <c r="A14" s="11" t="s">
        <v>202</v>
      </c>
      <c r="B14" s="14">
        <f>18277336</f>
        <v>18277336</v>
      </c>
      <c r="C14" s="14">
        <f>17629526</f>
        <v>17629526</v>
      </c>
      <c r="D14" s="14">
        <f>26016396</f>
        <v>26016396</v>
      </c>
      <c r="E14" s="14">
        <f>46373460</f>
        <v>46373460</v>
      </c>
      <c r="F14" s="14">
        <f>5499498</f>
        <v>5499498</v>
      </c>
      <c r="G14" s="14">
        <v>5292921</v>
      </c>
      <c r="H14" s="14">
        <f>5278625</f>
        <v>5278625</v>
      </c>
      <c r="I14" s="14">
        <v>3531207</v>
      </c>
      <c r="J14" s="64">
        <f t="shared" si="0"/>
        <v>108296718</v>
      </c>
      <c r="K14" s="64">
        <f t="shared" si="1"/>
        <v>19602251</v>
      </c>
      <c r="L14" s="65">
        <f t="shared" si="3"/>
        <v>0.18100503285796712</v>
      </c>
      <c r="M14" s="64">
        <f t="shared" si="4"/>
        <v>88731475</v>
      </c>
      <c r="N14" s="65">
        <f t="shared" si="5"/>
        <v>0.81933669494951822</v>
      </c>
      <c r="O14" s="14">
        <f>12777838-172943</f>
        <v>12604895</v>
      </c>
      <c r="P14" s="14">
        <f>12336605-273664</f>
        <v>12062941</v>
      </c>
      <c r="Q14" s="14">
        <f>20737771-61226</f>
        <v>20676545</v>
      </c>
      <c r="R14" s="14">
        <f>544841+42842253</f>
        <v>43387094</v>
      </c>
      <c r="S14" s="14"/>
      <c r="T14" s="14"/>
      <c r="U14" s="14"/>
      <c r="V14" s="14"/>
      <c r="W14" s="44">
        <v>1946</v>
      </c>
      <c r="X14" s="44">
        <f t="shared" si="2"/>
        <v>75</v>
      </c>
      <c r="Y14" s="44">
        <v>1</v>
      </c>
      <c r="Z14" s="44">
        <v>2</v>
      </c>
      <c r="AA14" s="44" t="s">
        <v>5</v>
      </c>
    </row>
    <row r="15" spans="1:27" ht="30" x14ac:dyDescent="0.25">
      <c r="A15" s="4" t="s">
        <v>205</v>
      </c>
      <c r="B15" s="5">
        <f>29225000+425000</f>
        <v>29650000</v>
      </c>
      <c r="C15" s="5">
        <f>30960000+32000+233000</f>
        <v>31225000</v>
      </c>
      <c r="D15" s="5">
        <f>30659000+85000+374000</f>
        <v>31118000</v>
      </c>
      <c r="E15" s="5">
        <f>28857000+112000+218000</f>
        <v>29187000</v>
      </c>
      <c r="F15" s="5">
        <f>B15-5000000</f>
        <v>24650000</v>
      </c>
      <c r="G15" s="5">
        <f>C15-3750000</f>
        <v>27475000</v>
      </c>
      <c r="H15" s="5">
        <f>D15-2500000-223000</f>
        <v>28395000</v>
      </c>
      <c r="I15" s="5">
        <f>E15-2250000</f>
        <v>26937000</v>
      </c>
      <c r="J15" s="64">
        <f t="shared" si="0"/>
        <v>121180000</v>
      </c>
      <c r="K15" s="64">
        <f t="shared" si="1"/>
        <v>107457000</v>
      </c>
      <c r="L15" s="65">
        <f t="shared" si="3"/>
        <v>0.88675524013863671</v>
      </c>
      <c r="M15" s="64">
        <f t="shared" si="4"/>
        <v>14750000</v>
      </c>
      <c r="N15" s="65">
        <f t="shared" si="5"/>
        <v>0.12171975573526984</v>
      </c>
      <c r="O15" s="5">
        <v>5425000</v>
      </c>
      <c r="P15" s="5">
        <v>3983000</v>
      </c>
      <c r="Q15" s="5">
        <v>2874000</v>
      </c>
      <c r="R15" s="5">
        <v>2468000</v>
      </c>
      <c r="S15" s="5"/>
      <c r="T15" s="5"/>
      <c r="U15" s="5"/>
      <c r="V15" s="5"/>
      <c r="W15" s="39">
        <v>2008</v>
      </c>
      <c r="X15" s="39">
        <f t="shared" si="2"/>
        <v>13</v>
      </c>
      <c r="Y15" s="39">
        <v>4</v>
      </c>
      <c r="Z15" s="39">
        <v>2</v>
      </c>
      <c r="AA15" s="39" t="s">
        <v>147</v>
      </c>
    </row>
    <row r="16" spans="1:27" x14ac:dyDescent="0.25">
      <c r="A16" s="4" t="s">
        <v>237</v>
      </c>
      <c r="B16" s="5">
        <f>4500636+105345</f>
        <v>4605981</v>
      </c>
      <c r="C16" s="5">
        <f>5210397+196242</f>
        <v>5406639</v>
      </c>
      <c r="D16" s="5">
        <f>6115569+9309+4406</f>
        <v>6129284</v>
      </c>
      <c r="E16" s="5">
        <f>5670772+35242+65000</f>
        <v>5771014</v>
      </c>
      <c r="F16" s="5">
        <f>131698</f>
        <v>131698</v>
      </c>
      <c r="G16" s="5">
        <v>408948</v>
      </c>
      <c r="H16" s="5">
        <v>246962</v>
      </c>
      <c r="I16" s="5">
        <v>221326</v>
      </c>
      <c r="J16" s="64">
        <f t="shared" si="0"/>
        <v>21912918</v>
      </c>
      <c r="K16" s="64">
        <f t="shared" si="1"/>
        <v>1008934</v>
      </c>
      <c r="L16" s="65">
        <f t="shared" si="3"/>
        <v>4.6042886666212139E-2</v>
      </c>
      <c r="M16" s="64">
        <f t="shared" si="4"/>
        <v>20903982</v>
      </c>
      <c r="N16" s="65">
        <f t="shared" si="5"/>
        <v>0.95395702206342392</v>
      </c>
      <c r="O16" s="5">
        <f>4368938+105345</f>
        <v>4474283</v>
      </c>
      <c r="P16" s="5">
        <f>4801448+196242</f>
        <v>4997690</v>
      </c>
      <c r="Q16" s="5">
        <f>5868607+9309+4406</f>
        <v>5882322</v>
      </c>
      <c r="R16" s="5">
        <f>5449445+35242+65000</f>
        <v>5549687</v>
      </c>
      <c r="S16" s="5"/>
      <c r="T16" s="5"/>
      <c r="U16" s="5"/>
      <c r="V16" s="5"/>
      <c r="W16" s="39">
        <v>1995</v>
      </c>
      <c r="X16" s="39">
        <f t="shared" si="2"/>
        <v>26</v>
      </c>
      <c r="Y16" s="39">
        <v>3</v>
      </c>
      <c r="Z16" s="39">
        <v>1</v>
      </c>
      <c r="AA16" s="39" t="s">
        <v>239</v>
      </c>
    </row>
    <row r="17" spans="1:27" x14ac:dyDescent="0.25">
      <c r="A17" s="4" t="s">
        <v>248</v>
      </c>
      <c r="B17" s="5">
        <f>1037171+750595+641230+7882+20662</f>
        <v>2457540</v>
      </c>
      <c r="C17" s="5">
        <f>2441803+745071+1368977+33869+44306</f>
        <v>4634026</v>
      </c>
      <c r="D17" s="5">
        <f>2310770+2271602+1296627+3026+147779</f>
        <v>6029804</v>
      </c>
      <c r="E17" s="5">
        <f>1666983+2592705+1113597+1716+50689</f>
        <v>5425690</v>
      </c>
      <c r="F17" s="5">
        <v>1037171</v>
      </c>
      <c r="G17" s="5">
        <v>2441803</v>
      </c>
      <c r="H17" s="5">
        <v>2310770</v>
      </c>
      <c r="I17" s="5">
        <v>1666983</v>
      </c>
      <c r="J17" s="64">
        <f t="shared" si="0"/>
        <v>18547060</v>
      </c>
      <c r="K17" s="64">
        <f t="shared" si="1"/>
        <v>7456727</v>
      </c>
      <c r="L17" s="65">
        <f t="shared" si="3"/>
        <v>0.40204361230297414</v>
      </c>
      <c r="M17" s="64">
        <f t="shared" si="4"/>
        <v>11090333</v>
      </c>
      <c r="N17" s="65">
        <f t="shared" si="5"/>
        <v>0.59795638769702586</v>
      </c>
      <c r="O17" s="5">
        <f>750595+641230+7882+20662</f>
        <v>1420369</v>
      </c>
      <c r="P17" s="5">
        <f>745071+1368977+33869+44306</f>
        <v>2192223</v>
      </c>
      <c r="Q17" s="5">
        <f>2271602+1296627+3026+147779</f>
        <v>3719034</v>
      </c>
      <c r="R17" s="5">
        <f>2592705+1113597+1716+50689</f>
        <v>3758707</v>
      </c>
      <c r="S17" s="5"/>
      <c r="T17" s="5"/>
      <c r="U17" s="5"/>
      <c r="V17" s="5"/>
      <c r="W17" s="39">
        <v>2001</v>
      </c>
      <c r="X17" s="39">
        <f t="shared" si="2"/>
        <v>20</v>
      </c>
      <c r="Y17" s="39">
        <v>2</v>
      </c>
      <c r="Z17" s="39">
        <v>1</v>
      </c>
      <c r="AA17" s="39" t="s">
        <v>5</v>
      </c>
    </row>
    <row r="18" spans="1:27" ht="45" x14ac:dyDescent="0.25">
      <c r="A18" s="4" t="s">
        <v>258</v>
      </c>
      <c r="B18" s="5">
        <v>11942958</v>
      </c>
      <c r="C18" s="5">
        <v>14266344</v>
      </c>
      <c r="D18" s="5">
        <v>16427062</v>
      </c>
      <c r="E18" s="5">
        <v>11685911</v>
      </c>
      <c r="F18" s="5">
        <v>6632229</v>
      </c>
      <c r="G18" s="5">
        <v>7310497</v>
      </c>
      <c r="H18" s="5">
        <v>8611225</v>
      </c>
      <c r="I18" s="5">
        <v>3511117</v>
      </c>
      <c r="J18" s="64">
        <f t="shared" si="0"/>
        <v>54322275</v>
      </c>
      <c r="K18" s="64">
        <f t="shared" si="1"/>
        <v>26065068</v>
      </c>
      <c r="L18" s="65">
        <f t="shared" si="3"/>
        <v>0.47982283510769752</v>
      </c>
      <c r="M18" s="64">
        <f t="shared" si="4"/>
        <v>28257207</v>
      </c>
      <c r="N18" s="65">
        <f t="shared" si="5"/>
        <v>0.52017716489230248</v>
      </c>
      <c r="O18" s="5">
        <f>11942958-6632229</f>
        <v>5310729</v>
      </c>
      <c r="P18" s="5">
        <f>14266344-7310497</f>
        <v>6955847</v>
      </c>
      <c r="Q18" s="5">
        <f>16427062-8611225</f>
        <v>7815837</v>
      </c>
      <c r="R18" s="5">
        <v>8174794</v>
      </c>
      <c r="S18" s="5"/>
      <c r="T18" s="5"/>
      <c r="U18" s="5"/>
      <c r="V18" s="5"/>
      <c r="W18" s="39">
        <v>1998</v>
      </c>
      <c r="X18" s="39">
        <f t="shared" si="2"/>
        <v>23</v>
      </c>
      <c r="Y18" s="39">
        <v>3</v>
      </c>
      <c r="Z18" s="39">
        <v>1</v>
      </c>
      <c r="AA18" s="39" t="s">
        <v>5</v>
      </c>
    </row>
    <row r="19" spans="1:27" ht="30" x14ac:dyDescent="0.25">
      <c r="A19" s="4" t="s">
        <v>261</v>
      </c>
      <c r="B19" s="5">
        <f>10046091+27891+303242</f>
        <v>10377224</v>
      </c>
      <c r="C19" s="5">
        <f>10055370+10115+221252</f>
        <v>10286737</v>
      </c>
      <c r="D19" s="5">
        <f>9852209+293518+202675</f>
        <v>10348402</v>
      </c>
      <c r="E19" s="5">
        <f>8949978+52321+89636</f>
        <v>9091935</v>
      </c>
      <c r="F19" s="5">
        <v>2182052</v>
      </c>
      <c r="G19" s="5">
        <v>1932655</v>
      </c>
      <c r="H19" s="5">
        <v>983000</v>
      </c>
      <c r="I19" s="5">
        <v>1247489</v>
      </c>
      <c r="J19" s="64">
        <f t="shared" si="0"/>
        <v>40104298</v>
      </c>
      <c r="K19" s="64">
        <f t="shared" si="1"/>
        <v>6345196</v>
      </c>
      <c r="L19" s="65">
        <f t="shared" si="3"/>
        <v>0.15821735615469446</v>
      </c>
      <c r="M19" s="64">
        <f t="shared" si="4"/>
        <v>33759102</v>
      </c>
      <c r="N19" s="65">
        <f t="shared" si="5"/>
        <v>0.84178264384530554</v>
      </c>
      <c r="O19" s="5">
        <f>7864039+27891+303242</f>
        <v>8195172</v>
      </c>
      <c r="P19" s="5">
        <f>8122715+10115+221252</f>
        <v>8354082</v>
      </c>
      <c r="Q19" s="5">
        <f>8869209+293518+202675</f>
        <v>9365402</v>
      </c>
      <c r="R19" s="5">
        <f>7702489+52321+89636</f>
        <v>7844446</v>
      </c>
      <c r="S19" s="5"/>
      <c r="T19" s="5"/>
      <c r="U19" s="5"/>
      <c r="V19" s="5"/>
      <c r="W19" s="39">
        <v>1964</v>
      </c>
      <c r="X19" s="39">
        <f t="shared" si="2"/>
        <v>57</v>
      </c>
      <c r="Y19" s="39">
        <v>3</v>
      </c>
      <c r="Z19" s="39">
        <v>1</v>
      </c>
      <c r="AA19" s="39" t="s">
        <v>17</v>
      </c>
    </row>
    <row r="20" spans="1:27" ht="45" x14ac:dyDescent="0.25">
      <c r="A20" s="4" t="s">
        <v>295</v>
      </c>
      <c r="B20" s="5">
        <f>18431929.71</f>
        <v>18431929.710000001</v>
      </c>
      <c r="C20" s="5">
        <v>19205708.149999999</v>
      </c>
      <c r="D20" s="5">
        <v>27337875.350000001</v>
      </c>
      <c r="E20" s="5">
        <v>21102528.09</v>
      </c>
      <c r="F20" s="5">
        <f>2540129.55+5103621.63+896458.49</f>
        <v>8540209.6699999999</v>
      </c>
      <c r="G20" s="5">
        <f>2715818.49+5191601.66+770407.02</f>
        <v>8677827.1699999999</v>
      </c>
      <c r="H20" s="5">
        <f>2614330.24+5218852.54+8473647.36</f>
        <v>16306830.140000001</v>
      </c>
      <c r="I20" s="5">
        <f>2541939.97+3639469.34+3919183.26</f>
        <v>10100592.57</v>
      </c>
      <c r="J20" s="64">
        <f t="shared" si="0"/>
        <v>86078041.299999997</v>
      </c>
      <c r="K20" s="64">
        <f t="shared" si="1"/>
        <v>43625459.549999997</v>
      </c>
      <c r="L20" s="65">
        <f t="shared" si="3"/>
        <v>0.5068128745861693</v>
      </c>
      <c r="M20" s="64">
        <f t="shared" si="4"/>
        <v>42452581.75</v>
      </c>
      <c r="N20" s="65">
        <f t="shared" si="5"/>
        <v>0.49318712541383075</v>
      </c>
      <c r="O20" s="5">
        <f>67860.31+884.8+6869820.57+2953154.36</f>
        <v>9891720.040000001</v>
      </c>
      <c r="P20" s="5">
        <f>102055.39+13932.19+7155224.29+3256669.11</f>
        <v>10527880.98</v>
      </c>
      <c r="Q20" s="5">
        <f>16981.48+121388.36+7415420.01+3477255.36</f>
        <v>11031045.209999999</v>
      </c>
      <c r="R20" s="5">
        <f>9380.38+7829400.17+3163154.97</f>
        <v>11001935.52</v>
      </c>
      <c r="S20" s="5"/>
      <c r="T20" s="5"/>
      <c r="U20" s="5"/>
      <c r="V20" s="5"/>
      <c r="W20" s="39">
        <v>1969</v>
      </c>
      <c r="X20" s="39">
        <f t="shared" ref="X20:X23" si="6">2021-W20</f>
        <v>52</v>
      </c>
      <c r="Y20" s="39">
        <v>3</v>
      </c>
      <c r="Z20" s="39">
        <v>1</v>
      </c>
      <c r="AA20" s="39" t="s">
        <v>297</v>
      </c>
    </row>
    <row r="21" spans="1:27" ht="30" x14ac:dyDescent="0.25">
      <c r="A21" s="4" t="s">
        <v>311</v>
      </c>
      <c r="B21" s="5">
        <f>15406000+230000</f>
        <v>15636000</v>
      </c>
      <c r="C21" s="5">
        <f>16140000+174000</f>
        <v>16314000</v>
      </c>
      <c r="D21" s="5">
        <f>19325000+257000</f>
        <v>19582000</v>
      </c>
      <c r="E21" s="5">
        <f>15315000+143000</f>
        <v>15458000</v>
      </c>
      <c r="F21" s="5">
        <v>4776000</v>
      </c>
      <c r="G21" s="5">
        <v>2937000</v>
      </c>
      <c r="H21" s="5">
        <v>3939000</v>
      </c>
      <c r="I21" s="5">
        <v>2793000</v>
      </c>
      <c r="J21" s="64">
        <f t="shared" si="0"/>
        <v>66990000</v>
      </c>
      <c r="K21" s="64">
        <f t="shared" si="1"/>
        <v>14445000</v>
      </c>
      <c r="L21" s="65">
        <f t="shared" si="3"/>
        <v>0.21562919838781908</v>
      </c>
      <c r="M21" s="64">
        <f t="shared" si="4"/>
        <v>51741000</v>
      </c>
      <c r="N21" s="65">
        <f t="shared" si="5"/>
        <v>0.77236901030004479</v>
      </c>
      <c r="O21" s="5">
        <v>10630000</v>
      </c>
      <c r="P21" s="5">
        <v>13203000</v>
      </c>
      <c r="Q21" s="5">
        <v>15386000</v>
      </c>
      <c r="R21" s="5">
        <v>12522000</v>
      </c>
      <c r="S21" s="5"/>
      <c r="T21" s="5"/>
      <c r="U21" s="5"/>
      <c r="V21" s="5"/>
      <c r="W21" s="39">
        <v>1967</v>
      </c>
      <c r="X21" s="39">
        <f t="shared" si="6"/>
        <v>54</v>
      </c>
      <c r="Y21" s="39">
        <v>1</v>
      </c>
      <c r="Z21" s="39">
        <v>1</v>
      </c>
      <c r="AA21" s="39" t="s">
        <v>5</v>
      </c>
    </row>
    <row r="22" spans="1:27" ht="60" x14ac:dyDescent="0.25">
      <c r="A22" s="4" t="s">
        <v>313</v>
      </c>
      <c r="B22" s="5">
        <f>7595104+403.16+227835.57+1189829.01+2254864.4</f>
        <v>11268036.140000001</v>
      </c>
      <c r="C22" s="5">
        <f>7852940.07+9345.1+8175.04+2209796.57+111234.02+538997.66</f>
        <v>10730488.459999999</v>
      </c>
      <c r="D22" s="5">
        <f>7739835.99+44591.73+10059.72+121844.3+169987.75+1393170.3</f>
        <v>9479489.790000001</v>
      </c>
      <c r="E22" s="5">
        <f>7552074.31+16199.93+65499.19+134802.14+1021002.17</f>
        <v>8789577.7400000002</v>
      </c>
      <c r="F22" s="5">
        <v>1189829.01</v>
      </c>
      <c r="G22" s="5">
        <v>538997.66</v>
      </c>
      <c r="H22" s="5">
        <v>1393170.3</v>
      </c>
      <c r="I22" s="5">
        <v>1021002.017</v>
      </c>
      <c r="J22" s="64">
        <f t="shared" si="0"/>
        <v>40267592.130000003</v>
      </c>
      <c r="K22" s="64">
        <f t="shared" si="1"/>
        <v>4142998.9869999997</v>
      </c>
      <c r="L22" s="65">
        <f t="shared" si="3"/>
        <v>0.10288668300862715</v>
      </c>
      <c r="M22" s="64">
        <f t="shared" si="4"/>
        <v>36124593.142999999</v>
      </c>
      <c r="N22" s="65">
        <f t="shared" si="5"/>
        <v>0.89711331699137276</v>
      </c>
      <c r="O22" s="5">
        <f>B22-F22</f>
        <v>10078207.130000001</v>
      </c>
      <c r="P22" s="5">
        <f>C22-G22</f>
        <v>10191490.799999999</v>
      </c>
      <c r="Q22" s="5">
        <f>D22-H22</f>
        <v>8086319.4900000012</v>
      </c>
      <c r="R22" s="5">
        <f>E22-I22</f>
        <v>7768575.7230000002</v>
      </c>
      <c r="S22" s="5"/>
      <c r="T22" s="5"/>
      <c r="U22" s="5"/>
      <c r="V22" s="5"/>
      <c r="W22" s="39">
        <v>1986</v>
      </c>
      <c r="X22" s="39">
        <f t="shared" si="6"/>
        <v>35</v>
      </c>
      <c r="Y22" s="39">
        <v>3</v>
      </c>
      <c r="Z22" s="39">
        <v>1</v>
      </c>
      <c r="AA22" s="39" t="s">
        <v>192</v>
      </c>
    </row>
    <row r="23" spans="1:27" ht="60" x14ac:dyDescent="0.25">
      <c r="A23" s="4" t="s">
        <v>316</v>
      </c>
      <c r="B23" s="5">
        <f>2774994</f>
        <v>2774994</v>
      </c>
      <c r="C23" s="5">
        <v>3076184</v>
      </c>
      <c r="D23" s="5">
        <f>3634734+22182</f>
        <v>3656916</v>
      </c>
      <c r="E23" s="5">
        <f>4008178+10141</f>
        <v>4018319</v>
      </c>
      <c r="F23" s="5">
        <v>1752486</v>
      </c>
      <c r="G23" s="5">
        <v>1695193</v>
      </c>
      <c r="H23" s="5">
        <v>1723205</v>
      </c>
      <c r="I23" s="5">
        <v>1865855</v>
      </c>
      <c r="J23" s="64">
        <f t="shared" si="0"/>
        <v>13526413</v>
      </c>
      <c r="K23" s="64">
        <f t="shared" si="1"/>
        <v>7036739</v>
      </c>
      <c r="L23" s="65">
        <f t="shared" si="3"/>
        <v>0.52022210175010919</v>
      </c>
      <c r="M23" s="64">
        <f t="shared" si="4"/>
        <v>6457351</v>
      </c>
      <c r="N23" s="65">
        <f t="shared" si="5"/>
        <v>0.47738827729125233</v>
      </c>
      <c r="O23" s="5">
        <v>1022508</v>
      </c>
      <c r="P23" s="5">
        <v>1380991</v>
      </c>
      <c r="Q23" s="5">
        <v>1911529</v>
      </c>
      <c r="R23" s="5">
        <v>2142323</v>
      </c>
      <c r="S23" s="5"/>
      <c r="T23" s="5"/>
      <c r="U23" s="5"/>
      <c r="V23" s="5"/>
      <c r="W23" s="39">
        <v>2000</v>
      </c>
      <c r="X23" s="39">
        <f t="shared" si="6"/>
        <v>21</v>
      </c>
      <c r="Y23" s="39">
        <v>1</v>
      </c>
      <c r="Z23" s="39">
        <v>1</v>
      </c>
      <c r="AA23" s="39" t="s">
        <v>5</v>
      </c>
    </row>
    <row r="24" spans="1:27" x14ac:dyDescent="0.25">
      <c r="A24" s="4"/>
      <c r="B24" s="5"/>
      <c r="C24" s="5"/>
      <c r="D24" s="5"/>
      <c r="E24" s="5"/>
      <c r="F24" s="5"/>
      <c r="G24" s="5"/>
      <c r="H24" s="5"/>
      <c r="I24" s="5"/>
      <c r="J24" s="64">
        <f>SUM(J2:J23)</f>
        <v>1375339400.0800002</v>
      </c>
      <c r="K24" s="64">
        <f>SUM(K2:K23)</f>
        <v>425608259.69699997</v>
      </c>
      <c r="L24" s="65">
        <f>K24/J24</f>
        <v>0.30945689454707931</v>
      </c>
      <c r="M24" s="64">
        <f>SUM(M2:M23)</f>
        <v>949949868.45299995</v>
      </c>
      <c r="N24" s="65">
        <f>M24/J24</f>
        <v>0.69070214115711637</v>
      </c>
      <c r="O24" s="5"/>
      <c r="P24" s="5"/>
      <c r="Q24" s="5"/>
      <c r="R24" s="5"/>
      <c r="S24" s="5"/>
      <c r="T24" s="5"/>
      <c r="U24" s="5"/>
      <c r="V24" s="5"/>
      <c r="W24" s="39"/>
      <c r="X24" s="39"/>
      <c r="Y24" s="39"/>
      <c r="Z24" s="39"/>
      <c r="AA24" s="39"/>
    </row>
    <row r="25" spans="1:27" x14ac:dyDescent="0.25">
      <c r="A25" s="4"/>
      <c r="B25" s="5"/>
      <c r="C25" s="5"/>
      <c r="D25" s="5"/>
      <c r="E25" s="5"/>
      <c r="F25" s="5"/>
      <c r="G25" s="5"/>
      <c r="H25" s="5"/>
      <c r="I25" s="5"/>
      <c r="J25" s="64"/>
      <c r="K25" s="64"/>
      <c r="L25" s="64"/>
      <c r="M25" s="64">
        <f>M24-O27</f>
        <v>949731140.38300025</v>
      </c>
      <c r="N25" s="64"/>
      <c r="O25" s="5"/>
      <c r="P25" s="5"/>
      <c r="Q25" s="5"/>
      <c r="R25" s="5"/>
      <c r="S25" s="5"/>
      <c r="T25" s="5"/>
      <c r="U25" s="5"/>
      <c r="V25" s="5"/>
      <c r="W25" s="39"/>
      <c r="X25" s="39"/>
      <c r="Y25" s="39"/>
      <c r="Z25" s="39"/>
      <c r="AA25" s="39"/>
    </row>
    <row r="26" spans="1:27" x14ac:dyDescent="0.25">
      <c r="A26" s="4"/>
      <c r="B26" s="5"/>
      <c r="C26" s="5"/>
      <c r="D26" s="5"/>
      <c r="E26" s="5"/>
      <c r="F26" s="5"/>
      <c r="G26" s="5"/>
      <c r="H26" s="5"/>
      <c r="I26" s="5"/>
      <c r="J26" s="64"/>
      <c r="K26" s="64"/>
      <c r="L26" s="64"/>
      <c r="M26" s="64"/>
      <c r="N26" s="64"/>
      <c r="O26" s="5">
        <f>K24+M24</f>
        <v>1375558128.1499999</v>
      </c>
      <c r="P26" s="5"/>
      <c r="Q26" s="5"/>
      <c r="R26" s="5"/>
      <c r="S26" s="5"/>
      <c r="T26" s="5"/>
      <c r="U26" s="5"/>
      <c r="V26" s="5"/>
      <c r="W26" s="39"/>
      <c r="X26" s="39"/>
      <c r="Y26" s="39"/>
      <c r="Z26" s="39"/>
      <c r="AA26" s="39"/>
    </row>
    <row r="27" spans="1:27" x14ac:dyDescent="0.25">
      <c r="A27" s="4"/>
      <c r="B27" s="5"/>
      <c r="C27" s="5"/>
      <c r="D27" s="5"/>
      <c r="E27" s="5"/>
      <c r="F27" s="5"/>
      <c r="G27" s="5"/>
      <c r="H27" s="5"/>
      <c r="I27" s="5"/>
      <c r="J27" s="64"/>
      <c r="K27" s="65">
        <f>K24/J24</f>
        <v>0.30945689454707931</v>
      </c>
      <c r="L27" s="65" t="e">
        <f t="shared" ref="L27" si="7">L25/I24</f>
        <v>#DIV/0!</v>
      </c>
      <c r="M27" s="65">
        <f>M25/J24</f>
        <v>0.69054310545292075</v>
      </c>
      <c r="N27" s="64"/>
      <c r="O27" s="5">
        <f>O26-J24</f>
        <v>218728.06999969482</v>
      </c>
      <c r="P27" s="5"/>
      <c r="Q27" s="5"/>
      <c r="R27" s="5"/>
      <c r="S27" s="5"/>
      <c r="T27" s="5"/>
      <c r="U27" s="5"/>
      <c r="V27" s="5"/>
      <c r="W27" s="39"/>
      <c r="X27" s="39"/>
      <c r="Y27" s="39"/>
      <c r="Z27" s="39"/>
      <c r="AA27" s="39"/>
    </row>
    <row r="28" spans="1:27" x14ac:dyDescent="0.25">
      <c r="A28" s="4"/>
      <c r="B28" s="5"/>
      <c r="C28" s="5"/>
      <c r="D28" s="5"/>
      <c r="E28" s="5"/>
      <c r="F28" s="5"/>
      <c r="G28" s="5"/>
      <c r="H28" s="5"/>
      <c r="I28" s="5"/>
      <c r="J28" s="64"/>
      <c r="K28" s="64"/>
      <c r="L28" s="64"/>
      <c r="M28" s="64"/>
      <c r="N28" s="64"/>
      <c r="O28" s="5"/>
      <c r="P28" s="5"/>
      <c r="Q28" s="5"/>
      <c r="R28" s="5"/>
      <c r="S28" s="5"/>
      <c r="T28" s="5"/>
      <c r="U28" s="5"/>
      <c r="V28" s="5"/>
      <c r="W28" s="39"/>
      <c r="X28" s="39"/>
      <c r="Y28" s="39"/>
      <c r="Z28" s="39"/>
      <c r="AA28" s="39"/>
    </row>
    <row r="29" spans="1:27" x14ac:dyDescent="0.25">
      <c r="A29" s="4"/>
      <c r="B29" s="5"/>
      <c r="C29" s="5"/>
      <c r="D29" s="5"/>
      <c r="E29" s="5"/>
      <c r="F29" s="5"/>
      <c r="G29" s="5"/>
      <c r="H29" s="5"/>
      <c r="I29" s="5"/>
      <c r="J29" s="64"/>
      <c r="K29" s="64"/>
      <c r="L29" s="64"/>
      <c r="M29" s="64"/>
      <c r="N29" s="64"/>
      <c r="O29" s="5"/>
      <c r="P29" s="5"/>
      <c r="Q29" s="5"/>
      <c r="R29" s="5"/>
      <c r="S29" s="5"/>
      <c r="T29" s="5"/>
      <c r="U29" s="5"/>
      <c r="V29" s="5"/>
      <c r="W29" s="39"/>
      <c r="X29" s="39"/>
      <c r="Y29" s="39"/>
      <c r="Z29" s="39"/>
      <c r="AA29" s="39"/>
    </row>
    <row r="30" spans="1:27" x14ac:dyDescent="0.25">
      <c r="A30" s="4"/>
      <c r="B30" s="5"/>
      <c r="C30" s="5"/>
      <c r="D30" s="5"/>
      <c r="E30" s="5"/>
      <c r="F30" s="5"/>
      <c r="G30" s="5"/>
      <c r="H30" s="5"/>
      <c r="I30" s="5"/>
      <c r="J30" s="64"/>
      <c r="K30" s="64"/>
      <c r="L30" s="64"/>
      <c r="M30" s="64"/>
      <c r="N30" s="64"/>
      <c r="O30" s="5"/>
      <c r="P30" s="5"/>
      <c r="Q30" s="5"/>
      <c r="R30" s="5"/>
      <c r="S30" s="5"/>
      <c r="T30" s="5"/>
      <c r="U30" s="5"/>
      <c r="V30" s="5"/>
      <c r="W30" s="39"/>
      <c r="X30" s="39"/>
      <c r="Y30" s="39"/>
      <c r="Z30" s="39"/>
      <c r="AA30" s="39"/>
    </row>
    <row r="31" spans="1:27" x14ac:dyDescent="0.25">
      <c r="A31" s="4"/>
      <c r="B31" s="5"/>
      <c r="C31" s="5"/>
      <c r="D31" s="5"/>
      <c r="E31" s="5"/>
      <c r="F31" s="5"/>
      <c r="G31" s="5"/>
      <c r="H31" s="5"/>
      <c r="I31" s="5"/>
      <c r="J31" s="64"/>
      <c r="K31" s="64"/>
      <c r="L31" s="64"/>
      <c r="M31" s="64"/>
      <c r="N31" s="64"/>
      <c r="O31" s="5"/>
      <c r="P31" s="5"/>
      <c r="Q31" s="5"/>
      <c r="R31" s="5"/>
      <c r="S31" s="5"/>
      <c r="T31" s="5"/>
      <c r="U31" s="5"/>
      <c r="V31" s="5"/>
      <c r="W31" s="39"/>
      <c r="X31" s="39"/>
      <c r="Y31" s="39"/>
      <c r="Z31" s="39"/>
      <c r="AA31" s="39"/>
    </row>
    <row r="32" spans="1:27" x14ac:dyDescent="0.25">
      <c r="A32" s="4"/>
      <c r="B32" s="5"/>
      <c r="C32" s="5"/>
      <c r="D32" s="5"/>
      <c r="E32" s="5"/>
      <c r="F32" s="5"/>
      <c r="G32" s="5"/>
      <c r="H32" s="5"/>
      <c r="I32" s="5"/>
      <c r="J32" s="64"/>
      <c r="K32" s="64"/>
      <c r="L32" s="64"/>
      <c r="M32" s="64"/>
      <c r="N32" s="64"/>
      <c r="O32" s="5"/>
      <c r="P32" s="5"/>
      <c r="Q32" s="5"/>
      <c r="R32" s="5"/>
      <c r="S32" s="5"/>
      <c r="T32" s="5"/>
      <c r="U32" s="5"/>
      <c r="V32" s="5"/>
      <c r="W32" s="39"/>
      <c r="X32" s="39"/>
      <c r="Y32" s="39"/>
      <c r="Z32" s="39"/>
      <c r="AA32" s="39"/>
    </row>
    <row r="33" spans="1:27" x14ac:dyDescent="0.25">
      <c r="A33" s="4"/>
      <c r="B33" s="5"/>
      <c r="C33" s="5"/>
      <c r="D33" s="5"/>
      <c r="E33" s="5"/>
      <c r="F33" s="5"/>
      <c r="G33" s="5"/>
      <c r="H33" s="5"/>
      <c r="I33" s="5"/>
      <c r="J33" s="64"/>
      <c r="K33" s="64"/>
      <c r="L33" s="64"/>
      <c r="M33" s="64"/>
      <c r="N33" s="64"/>
      <c r="O33" s="5"/>
      <c r="P33" s="5"/>
      <c r="Q33" s="5"/>
      <c r="R33" s="5"/>
      <c r="S33" s="5"/>
      <c r="T33" s="5"/>
      <c r="U33" s="5"/>
      <c r="V33" s="5"/>
      <c r="W33" s="39"/>
      <c r="X33" s="39"/>
      <c r="Y33" s="39"/>
      <c r="Z33" s="39"/>
      <c r="AA33" s="39"/>
    </row>
    <row r="34" spans="1:27" x14ac:dyDescent="0.25">
      <c r="A34" s="4"/>
      <c r="B34" s="5"/>
      <c r="C34" s="5"/>
      <c r="D34" s="5"/>
      <c r="E34" s="5"/>
      <c r="F34" s="5"/>
      <c r="G34" s="5"/>
      <c r="H34" s="5"/>
      <c r="I34" s="5"/>
      <c r="J34" s="64"/>
      <c r="K34" s="64"/>
      <c r="L34" s="64"/>
      <c r="M34" s="64"/>
      <c r="N34" s="64"/>
      <c r="O34" s="5"/>
      <c r="P34" s="5"/>
      <c r="Q34" s="5"/>
      <c r="R34" s="5"/>
      <c r="S34" s="5"/>
      <c r="T34" s="5"/>
      <c r="U34" s="5"/>
      <c r="V34" s="5"/>
      <c r="W34" s="39"/>
      <c r="X34" s="39"/>
      <c r="Y34" s="39"/>
      <c r="Z34" s="39"/>
      <c r="AA34" s="39"/>
    </row>
    <row r="35" spans="1:27" x14ac:dyDescent="0.25">
      <c r="A35" s="4"/>
      <c r="B35" s="5"/>
      <c r="C35" s="5"/>
      <c r="D35" s="5"/>
      <c r="E35" s="5"/>
      <c r="F35" s="5"/>
      <c r="G35" s="5"/>
      <c r="H35" s="5"/>
      <c r="I35" s="5"/>
      <c r="J35" s="64"/>
      <c r="K35" s="64"/>
      <c r="L35" s="64"/>
      <c r="M35" s="64"/>
      <c r="N35" s="64"/>
      <c r="O35" s="5"/>
      <c r="P35" s="5"/>
      <c r="Q35" s="5"/>
      <c r="R35" s="5"/>
      <c r="S35" s="5"/>
      <c r="T35" s="5"/>
      <c r="U35" s="5"/>
      <c r="V35" s="5"/>
      <c r="W35" s="39"/>
      <c r="X35" s="39"/>
      <c r="Y35" s="39"/>
      <c r="Z35" s="39"/>
      <c r="AA35" s="39"/>
    </row>
    <row r="36" spans="1:27" x14ac:dyDescent="0.25">
      <c r="A36" s="4"/>
      <c r="B36" s="5"/>
      <c r="C36" s="5"/>
      <c r="D36" s="5"/>
      <c r="E36" s="5"/>
      <c r="F36" s="5"/>
      <c r="G36" s="5"/>
      <c r="H36" s="5"/>
      <c r="I36" s="5"/>
      <c r="J36" s="64"/>
      <c r="K36" s="64"/>
      <c r="L36" s="64"/>
      <c r="M36" s="64"/>
      <c r="N36" s="64"/>
      <c r="O36" s="5"/>
      <c r="P36" s="5"/>
      <c r="Q36" s="5"/>
      <c r="R36" s="5"/>
      <c r="S36" s="5"/>
      <c r="T36" s="5"/>
      <c r="U36" s="5"/>
      <c r="V36" s="5"/>
      <c r="W36" s="39"/>
      <c r="X36" s="39"/>
      <c r="Y36" s="39"/>
      <c r="Z36" s="39"/>
      <c r="AA36" s="39"/>
    </row>
    <row r="37" spans="1:27" x14ac:dyDescent="0.25">
      <c r="A37" s="4"/>
      <c r="B37" s="5"/>
      <c r="C37" s="5"/>
      <c r="D37" s="5"/>
      <c r="E37" s="5"/>
      <c r="F37" s="5"/>
      <c r="G37" s="5"/>
      <c r="H37" s="5"/>
      <c r="I37" s="5"/>
      <c r="J37" s="64"/>
      <c r="K37" s="64"/>
      <c r="L37" s="64"/>
      <c r="M37" s="64"/>
      <c r="N37" s="64"/>
      <c r="O37" s="5"/>
      <c r="P37" s="5"/>
      <c r="Q37" s="5"/>
      <c r="R37" s="5"/>
      <c r="S37" s="5"/>
      <c r="T37" s="5"/>
      <c r="U37" s="5"/>
      <c r="V37" s="5"/>
      <c r="W37" s="39"/>
      <c r="X37" s="39"/>
      <c r="Y37" s="39"/>
      <c r="Z37" s="39"/>
      <c r="AA37" s="39"/>
    </row>
    <row r="38" spans="1:27" x14ac:dyDescent="0.25">
      <c r="A38" s="4"/>
      <c r="B38" s="5"/>
      <c r="C38" s="5"/>
      <c r="D38" s="5"/>
      <c r="E38" s="5"/>
      <c r="F38" s="5"/>
      <c r="G38" s="5"/>
      <c r="H38" s="5"/>
      <c r="I38" s="5"/>
      <c r="J38" s="64"/>
      <c r="K38" s="64"/>
      <c r="L38" s="64"/>
      <c r="M38" s="64"/>
      <c r="N38" s="64"/>
      <c r="O38" s="5"/>
      <c r="P38" s="5"/>
      <c r="Q38" s="5"/>
      <c r="R38" s="5"/>
      <c r="S38" s="5"/>
      <c r="T38" s="5"/>
      <c r="U38" s="5"/>
      <c r="V38" s="5"/>
      <c r="W38" s="39"/>
      <c r="X38" s="39"/>
      <c r="Y38" s="39"/>
      <c r="Z38" s="39"/>
      <c r="AA38" s="39"/>
    </row>
    <row r="39" spans="1:27" x14ac:dyDescent="0.25">
      <c r="A39" s="4"/>
      <c r="B39" s="5"/>
      <c r="C39" s="5"/>
      <c r="D39" s="5"/>
      <c r="E39" s="5"/>
      <c r="F39" s="5"/>
      <c r="G39" s="5"/>
      <c r="H39" s="5"/>
      <c r="I39" s="5"/>
      <c r="J39" s="64"/>
      <c r="K39" s="64"/>
      <c r="L39" s="64"/>
      <c r="M39" s="64"/>
      <c r="N39" s="64"/>
      <c r="O39" s="5"/>
      <c r="P39" s="5"/>
      <c r="Q39" s="5"/>
      <c r="R39" s="5"/>
      <c r="S39" s="5"/>
      <c r="T39" s="5"/>
      <c r="U39" s="5"/>
      <c r="V39" s="5"/>
      <c r="W39" s="39"/>
      <c r="X39" s="39"/>
      <c r="Y39" s="39"/>
      <c r="Z39" s="39"/>
      <c r="AA39" s="39"/>
    </row>
    <row r="40" spans="1:27" x14ac:dyDescent="0.25">
      <c r="A40" s="4"/>
      <c r="B40" s="5"/>
      <c r="C40" s="5"/>
      <c r="D40" s="5"/>
      <c r="E40" s="5"/>
      <c r="F40" s="5"/>
      <c r="G40" s="5"/>
      <c r="H40" s="5"/>
      <c r="I40" s="5"/>
      <c r="J40" s="64"/>
      <c r="K40" s="64"/>
      <c r="L40" s="64"/>
      <c r="M40" s="64"/>
      <c r="N40" s="64"/>
      <c r="O40" s="5"/>
      <c r="P40" s="5"/>
      <c r="Q40" s="5"/>
      <c r="R40" s="5"/>
      <c r="S40" s="5"/>
      <c r="T40" s="5"/>
      <c r="U40" s="5"/>
      <c r="V40" s="5"/>
      <c r="W40" s="39"/>
      <c r="X40" s="39"/>
      <c r="Y40" s="39"/>
      <c r="Z40" s="39"/>
      <c r="AA40" s="39"/>
    </row>
    <row r="41" spans="1:27" x14ac:dyDescent="0.25">
      <c r="A41" s="4"/>
      <c r="B41" s="5"/>
      <c r="C41" s="5"/>
      <c r="D41" s="5"/>
      <c r="E41" s="5"/>
      <c r="F41" s="5"/>
      <c r="G41" s="5"/>
      <c r="H41" s="5"/>
      <c r="I41" s="5"/>
      <c r="J41" s="64"/>
      <c r="K41" s="64"/>
      <c r="L41" s="64"/>
      <c r="M41" s="64"/>
      <c r="N41" s="64"/>
      <c r="O41" s="5"/>
      <c r="P41" s="5"/>
      <c r="Q41" s="5"/>
      <c r="R41" s="5"/>
      <c r="S41" s="5"/>
      <c r="T41" s="5"/>
      <c r="U41" s="5"/>
      <c r="V41" s="5"/>
      <c r="W41" s="39"/>
      <c r="X41" s="39"/>
      <c r="Y41" s="39"/>
      <c r="Z41" s="39"/>
      <c r="AA41" s="39"/>
    </row>
    <row r="42" spans="1:27" x14ac:dyDescent="0.25">
      <c r="A42" s="4"/>
      <c r="B42" s="5"/>
      <c r="C42" s="5"/>
      <c r="D42" s="5"/>
      <c r="E42" s="5"/>
      <c r="F42" s="5"/>
      <c r="G42" s="5"/>
      <c r="H42" s="5"/>
      <c r="I42" s="5"/>
      <c r="J42" s="64"/>
      <c r="K42" s="64"/>
      <c r="L42" s="64"/>
      <c r="M42" s="64"/>
      <c r="N42" s="64"/>
      <c r="O42" s="5"/>
      <c r="P42" s="5"/>
      <c r="Q42" s="5"/>
      <c r="R42" s="5"/>
      <c r="S42" s="5"/>
      <c r="T42" s="5"/>
      <c r="U42" s="5"/>
      <c r="V42" s="5"/>
      <c r="W42" s="39"/>
      <c r="X42" s="39"/>
      <c r="Y42" s="39"/>
      <c r="Z42" s="39"/>
      <c r="AA42" s="39"/>
    </row>
    <row r="43" spans="1:27" x14ac:dyDescent="0.25">
      <c r="A43" s="4"/>
      <c r="B43" s="5"/>
      <c r="C43" s="5"/>
      <c r="D43" s="5"/>
      <c r="E43" s="5"/>
      <c r="F43" s="5"/>
      <c r="G43" s="5"/>
      <c r="H43" s="5"/>
      <c r="I43" s="5"/>
      <c r="J43" s="64"/>
      <c r="K43" s="64"/>
      <c r="L43" s="64"/>
      <c r="M43" s="64"/>
      <c r="N43" s="64"/>
      <c r="O43" s="5"/>
      <c r="P43" s="5"/>
      <c r="Q43" s="5"/>
      <c r="R43" s="5"/>
      <c r="S43" s="5"/>
      <c r="T43" s="5"/>
      <c r="U43" s="5"/>
      <c r="V43" s="5"/>
      <c r="W43" s="39"/>
      <c r="X43" s="39"/>
      <c r="Y43" s="39"/>
      <c r="Z43" s="39"/>
      <c r="AA43" s="39"/>
    </row>
    <row r="44" spans="1:27" x14ac:dyDescent="0.25">
      <c r="A44" s="4"/>
      <c r="B44" s="5"/>
      <c r="C44" s="5"/>
      <c r="D44" s="5"/>
      <c r="E44" s="5"/>
      <c r="F44" s="5"/>
      <c r="G44" s="5"/>
      <c r="H44" s="5"/>
      <c r="I44" s="5"/>
      <c r="J44" s="64"/>
      <c r="K44" s="64"/>
      <c r="L44" s="64"/>
      <c r="M44" s="64"/>
      <c r="N44" s="64"/>
      <c r="O44" s="5"/>
      <c r="P44" s="5"/>
      <c r="Q44" s="5"/>
      <c r="R44" s="5"/>
      <c r="S44" s="5"/>
      <c r="T44" s="5"/>
      <c r="U44" s="5"/>
      <c r="V44" s="5"/>
      <c r="W44" s="39"/>
      <c r="X44" s="39"/>
      <c r="Y44" s="39"/>
      <c r="Z44" s="39"/>
      <c r="AA44" s="39"/>
    </row>
    <row r="45" spans="1:27" x14ac:dyDescent="0.25">
      <c r="A45" s="4"/>
      <c r="B45" s="5"/>
      <c r="C45" s="5"/>
      <c r="D45" s="5"/>
      <c r="E45" s="5"/>
      <c r="F45" s="5"/>
      <c r="G45" s="5"/>
      <c r="H45" s="5"/>
      <c r="I45" s="5"/>
      <c r="J45" s="64"/>
      <c r="K45" s="64"/>
      <c r="L45" s="64"/>
      <c r="M45" s="64"/>
      <c r="N45" s="64"/>
      <c r="O45" s="5"/>
      <c r="P45" s="5"/>
      <c r="Q45" s="5"/>
      <c r="R45" s="5"/>
      <c r="S45" s="5"/>
      <c r="T45" s="5"/>
      <c r="U45" s="5"/>
      <c r="V45" s="5"/>
      <c r="W45" s="39"/>
      <c r="X45" s="39"/>
      <c r="Y45" s="39"/>
      <c r="Z45" s="39"/>
      <c r="AA45" s="39"/>
    </row>
    <row r="46" spans="1:27" x14ac:dyDescent="0.25">
      <c r="A46" s="4"/>
      <c r="B46" s="5"/>
      <c r="C46" s="5"/>
      <c r="D46" s="5"/>
      <c r="E46" s="5"/>
      <c r="F46" s="5"/>
      <c r="G46" s="5"/>
      <c r="H46" s="5"/>
      <c r="I46" s="5"/>
      <c r="J46" s="64"/>
      <c r="K46" s="64"/>
      <c r="L46" s="64"/>
      <c r="M46" s="64"/>
      <c r="N46" s="64"/>
      <c r="O46" s="5"/>
      <c r="P46" s="5"/>
      <c r="Q46" s="5"/>
      <c r="R46" s="5"/>
      <c r="S46" s="5"/>
      <c r="T46" s="5"/>
      <c r="U46" s="5"/>
      <c r="V46" s="5"/>
      <c r="W46" s="39"/>
      <c r="X46" s="39"/>
      <c r="Y46" s="39"/>
      <c r="Z46" s="39"/>
      <c r="AA46" s="39"/>
    </row>
    <row r="47" spans="1:27" x14ac:dyDescent="0.25">
      <c r="A47" s="4"/>
      <c r="B47" s="5"/>
      <c r="C47" s="5"/>
      <c r="D47" s="5"/>
      <c r="E47" s="5"/>
      <c r="F47" s="5"/>
      <c r="G47" s="5"/>
      <c r="H47" s="5"/>
      <c r="I47" s="5"/>
      <c r="J47" s="64"/>
      <c r="K47" s="64"/>
      <c r="L47" s="64"/>
      <c r="M47" s="64"/>
      <c r="N47" s="64"/>
      <c r="O47" s="5"/>
      <c r="P47" s="5"/>
      <c r="Q47" s="5"/>
      <c r="R47" s="5"/>
      <c r="S47" s="5"/>
      <c r="T47" s="5"/>
      <c r="U47" s="5"/>
      <c r="V47" s="5"/>
      <c r="W47" s="39"/>
      <c r="X47" s="39"/>
      <c r="Y47" s="39"/>
      <c r="Z47" s="39"/>
      <c r="AA47" s="39"/>
    </row>
    <row r="48" spans="1:27" x14ac:dyDescent="0.25">
      <c r="A48" s="4"/>
      <c r="B48" s="5"/>
      <c r="C48" s="5"/>
      <c r="D48" s="5"/>
      <c r="E48" s="5"/>
      <c r="F48" s="5"/>
      <c r="G48" s="5"/>
      <c r="H48" s="5"/>
      <c r="I48" s="5"/>
      <c r="J48" s="64"/>
      <c r="K48" s="64"/>
      <c r="L48" s="64"/>
      <c r="M48" s="64"/>
      <c r="N48" s="64"/>
      <c r="O48" s="5"/>
      <c r="P48" s="5"/>
      <c r="Q48" s="5"/>
      <c r="R48" s="5"/>
      <c r="S48" s="5"/>
      <c r="T48" s="5"/>
      <c r="U48" s="5"/>
      <c r="V48" s="5"/>
      <c r="W48" s="39"/>
      <c r="X48" s="39"/>
      <c r="Y48" s="39"/>
      <c r="Z48" s="39"/>
      <c r="AA48" s="39"/>
    </row>
    <row r="49" spans="1:27" x14ac:dyDescent="0.25">
      <c r="A49" s="4"/>
      <c r="B49" s="5"/>
      <c r="C49" s="5"/>
      <c r="D49" s="5"/>
      <c r="E49" s="5"/>
      <c r="F49" s="5"/>
      <c r="G49" s="5"/>
      <c r="H49" s="5"/>
      <c r="I49" s="5"/>
      <c r="J49" s="64"/>
      <c r="K49" s="64"/>
      <c r="L49" s="64"/>
      <c r="M49" s="64"/>
      <c r="N49" s="64"/>
      <c r="O49" s="5"/>
      <c r="P49" s="5"/>
      <c r="Q49" s="5"/>
      <c r="R49" s="5"/>
      <c r="S49" s="5"/>
      <c r="T49" s="5"/>
      <c r="U49" s="5"/>
      <c r="V49" s="5"/>
      <c r="W49" s="39"/>
      <c r="X49" s="39"/>
      <c r="Y49" s="39"/>
      <c r="Z49" s="39"/>
      <c r="AA49" s="39"/>
    </row>
    <row r="50" spans="1:27" x14ac:dyDescent="0.25">
      <c r="A50" s="4"/>
      <c r="B50" s="5"/>
      <c r="C50" s="5"/>
      <c r="D50" s="5"/>
      <c r="E50" s="5"/>
      <c r="F50" s="5"/>
      <c r="G50" s="5"/>
      <c r="H50" s="5"/>
      <c r="I50" s="5"/>
      <c r="J50" s="64"/>
      <c r="K50" s="64"/>
      <c r="L50" s="64"/>
      <c r="M50" s="64"/>
      <c r="N50" s="64"/>
      <c r="O50" s="5"/>
      <c r="P50" s="5"/>
      <c r="Q50" s="5"/>
      <c r="R50" s="5"/>
      <c r="S50" s="5"/>
      <c r="T50" s="5"/>
      <c r="U50" s="5"/>
      <c r="V50" s="5"/>
      <c r="W50" s="39"/>
      <c r="X50" s="39"/>
      <c r="Y50" s="39"/>
      <c r="Z50" s="39"/>
      <c r="AA50" s="39"/>
    </row>
    <row r="51" spans="1:27" x14ac:dyDescent="0.25">
      <c r="A51" s="4"/>
      <c r="B51" s="5"/>
      <c r="C51" s="5"/>
      <c r="D51" s="5"/>
      <c r="E51" s="5"/>
      <c r="F51" s="5"/>
      <c r="G51" s="5"/>
      <c r="H51" s="5"/>
      <c r="I51" s="5"/>
      <c r="J51" s="64"/>
      <c r="K51" s="64"/>
      <c r="L51" s="64"/>
      <c r="M51" s="64"/>
      <c r="N51" s="64"/>
      <c r="O51" s="5"/>
      <c r="P51" s="5"/>
      <c r="Q51" s="5"/>
      <c r="R51" s="5"/>
      <c r="S51" s="5"/>
      <c r="T51" s="5"/>
      <c r="U51" s="5"/>
      <c r="V51" s="5"/>
      <c r="W51" s="39"/>
      <c r="X51" s="39"/>
      <c r="Y51" s="39"/>
      <c r="Z51" s="39"/>
      <c r="AA51" s="39"/>
    </row>
    <row r="52" spans="1:27" x14ac:dyDescent="0.25">
      <c r="A52" s="4"/>
      <c r="B52" s="5"/>
      <c r="C52" s="5"/>
      <c r="D52" s="5"/>
      <c r="E52" s="5"/>
      <c r="F52" s="5"/>
      <c r="G52" s="5"/>
      <c r="H52" s="5"/>
      <c r="I52" s="5"/>
      <c r="J52" s="64"/>
      <c r="K52" s="64"/>
      <c r="L52" s="64"/>
      <c r="M52" s="64"/>
      <c r="N52" s="64"/>
      <c r="O52" s="5"/>
      <c r="P52" s="5"/>
      <c r="Q52" s="5"/>
      <c r="R52" s="5"/>
      <c r="S52" s="5"/>
      <c r="T52" s="5"/>
      <c r="U52" s="5"/>
      <c r="V52" s="5"/>
      <c r="W52" s="39"/>
      <c r="X52" s="39"/>
      <c r="Y52" s="39"/>
      <c r="Z52" s="39"/>
      <c r="AA52" s="39"/>
    </row>
    <row r="53" spans="1:27" x14ac:dyDescent="0.25">
      <c r="A53" s="4"/>
      <c r="B53" s="5"/>
      <c r="C53" s="5"/>
      <c r="D53" s="5"/>
      <c r="E53" s="5"/>
      <c r="F53" s="5"/>
      <c r="G53" s="5"/>
      <c r="H53" s="5"/>
      <c r="I53" s="5"/>
      <c r="J53" s="64"/>
      <c r="K53" s="64"/>
      <c r="L53" s="64"/>
      <c r="M53" s="64"/>
      <c r="N53" s="64"/>
      <c r="O53" s="5"/>
      <c r="P53" s="5"/>
      <c r="Q53" s="5"/>
      <c r="R53" s="5"/>
      <c r="S53" s="5"/>
      <c r="T53" s="5"/>
      <c r="U53" s="5"/>
      <c r="V53" s="5"/>
      <c r="W53" s="39"/>
      <c r="X53" s="39"/>
      <c r="Y53" s="39"/>
      <c r="Z53" s="39"/>
      <c r="AA53" s="39"/>
    </row>
    <row r="54" spans="1:27" x14ac:dyDescent="0.25">
      <c r="A54" s="4"/>
      <c r="B54" s="5"/>
      <c r="C54" s="5"/>
      <c r="D54" s="5"/>
      <c r="E54" s="5"/>
      <c r="F54" s="5"/>
      <c r="G54" s="5"/>
      <c r="H54" s="5"/>
      <c r="I54" s="5"/>
      <c r="J54" s="64"/>
      <c r="K54" s="64"/>
      <c r="L54" s="64"/>
      <c r="M54" s="64"/>
      <c r="N54" s="64"/>
      <c r="O54" s="5"/>
      <c r="P54" s="5"/>
      <c r="Q54" s="5"/>
      <c r="R54" s="5"/>
      <c r="S54" s="5"/>
      <c r="T54" s="5"/>
      <c r="U54" s="5"/>
      <c r="V54" s="5"/>
      <c r="W54" s="39"/>
      <c r="X54" s="39"/>
      <c r="Y54" s="39"/>
      <c r="Z54" s="39"/>
      <c r="AA54" s="39"/>
    </row>
    <row r="55" spans="1:27" x14ac:dyDescent="0.25">
      <c r="A55" s="4"/>
      <c r="B55" s="5"/>
      <c r="C55" s="5"/>
      <c r="D55" s="5"/>
      <c r="E55" s="5"/>
      <c r="F55" s="5"/>
      <c r="G55" s="5"/>
      <c r="H55" s="5"/>
      <c r="I55" s="5"/>
      <c r="J55" s="64"/>
      <c r="K55" s="64"/>
      <c r="L55" s="64"/>
      <c r="M55" s="64"/>
      <c r="N55" s="64"/>
      <c r="O55" s="5"/>
      <c r="P55" s="5"/>
      <c r="Q55" s="5"/>
      <c r="R55" s="5"/>
      <c r="S55" s="5"/>
      <c r="T55" s="5"/>
      <c r="U55" s="5"/>
      <c r="V55" s="5"/>
      <c r="W55" s="39"/>
      <c r="X55" s="39"/>
      <c r="Y55" s="39"/>
      <c r="Z55" s="39"/>
      <c r="AA55" s="39"/>
    </row>
    <row r="56" spans="1:27" x14ac:dyDescent="0.25">
      <c r="A56" s="4"/>
      <c r="B56" s="5"/>
      <c r="C56" s="5"/>
      <c r="D56" s="5"/>
      <c r="E56" s="5"/>
      <c r="F56" s="5"/>
      <c r="G56" s="5"/>
      <c r="H56" s="5"/>
      <c r="I56" s="5"/>
      <c r="J56" s="64"/>
      <c r="K56" s="64"/>
      <c r="L56" s="64"/>
      <c r="M56" s="64"/>
      <c r="N56" s="64"/>
      <c r="O56" s="5"/>
      <c r="P56" s="5"/>
      <c r="Q56" s="5"/>
      <c r="R56" s="5"/>
      <c r="S56" s="5"/>
      <c r="T56" s="5"/>
      <c r="U56" s="5"/>
      <c r="V56" s="5"/>
      <c r="W56" s="39"/>
      <c r="X56" s="39"/>
      <c r="Y56" s="39"/>
      <c r="Z56" s="39"/>
      <c r="AA56" s="39"/>
    </row>
    <row r="57" spans="1:27" x14ac:dyDescent="0.25">
      <c r="A57" s="4"/>
      <c r="B57" s="5"/>
      <c r="C57" s="5"/>
      <c r="D57" s="5"/>
      <c r="E57" s="5"/>
      <c r="F57" s="5"/>
      <c r="G57" s="5"/>
      <c r="H57" s="5"/>
      <c r="I57" s="5"/>
      <c r="J57" s="64"/>
      <c r="K57" s="64"/>
      <c r="L57" s="64"/>
      <c r="M57" s="64"/>
      <c r="N57" s="64"/>
      <c r="O57" s="5"/>
      <c r="P57" s="5"/>
      <c r="Q57" s="5"/>
      <c r="R57" s="5"/>
      <c r="S57" s="5"/>
      <c r="T57" s="5"/>
      <c r="U57" s="5"/>
      <c r="V57" s="5"/>
      <c r="W57" s="39"/>
      <c r="X57" s="39"/>
      <c r="Y57" s="39"/>
      <c r="Z57" s="39"/>
      <c r="AA57" s="39"/>
    </row>
    <row r="58" spans="1:27" x14ac:dyDescent="0.25">
      <c r="A58" s="4"/>
      <c r="B58" s="5"/>
      <c r="C58" s="5"/>
      <c r="D58" s="5"/>
      <c r="E58" s="5"/>
      <c r="F58" s="5"/>
      <c r="G58" s="5"/>
      <c r="H58" s="5"/>
      <c r="I58" s="5"/>
      <c r="J58" s="64"/>
      <c r="K58" s="64"/>
      <c r="L58" s="64"/>
      <c r="M58" s="64"/>
      <c r="N58" s="64"/>
      <c r="O58" s="5"/>
      <c r="P58" s="5"/>
      <c r="Q58" s="5"/>
      <c r="R58" s="5"/>
      <c r="S58" s="5"/>
      <c r="T58" s="5"/>
      <c r="U58" s="5"/>
      <c r="V58" s="5"/>
      <c r="W58" s="39"/>
      <c r="X58" s="39"/>
      <c r="Y58" s="39"/>
      <c r="Z58" s="39"/>
      <c r="AA58" s="39"/>
    </row>
    <row r="59" spans="1:27" x14ac:dyDescent="0.25">
      <c r="A59" s="4"/>
      <c r="B59" s="5"/>
      <c r="C59" s="5"/>
      <c r="D59" s="5"/>
      <c r="E59" s="5"/>
      <c r="F59" s="5"/>
      <c r="G59" s="5"/>
      <c r="H59" s="5"/>
      <c r="I59" s="5"/>
      <c r="J59" s="64"/>
      <c r="K59" s="64"/>
      <c r="L59" s="64"/>
      <c r="M59" s="64"/>
      <c r="N59" s="64"/>
      <c r="O59" s="5"/>
      <c r="P59" s="5"/>
      <c r="Q59" s="5"/>
      <c r="R59" s="5"/>
      <c r="S59" s="5"/>
      <c r="T59" s="5"/>
      <c r="U59" s="5"/>
      <c r="V59" s="5"/>
      <c r="W59" s="39"/>
      <c r="X59" s="39"/>
      <c r="Y59" s="39"/>
      <c r="Z59" s="39"/>
      <c r="AA59" s="39"/>
    </row>
    <row r="60" spans="1:27" x14ac:dyDescent="0.25">
      <c r="A60" s="4"/>
      <c r="B60" s="5"/>
      <c r="C60" s="5"/>
      <c r="D60" s="5"/>
      <c r="E60" s="5"/>
      <c r="F60" s="5"/>
      <c r="G60" s="5"/>
      <c r="H60" s="5"/>
      <c r="I60" s="5"/>
      <c r="J60" s="64"/>
      <c r="K60" s="64"/>
      <c r="L60" s="64"/>
      <c r="M60" s="64"/>
      <c r="N60" s="64"/>
      <c r="O60" s="5"/>
      <c r="P60" s="5"/>
      <c r="Q60" s="5"/>
      <c r="R60" s="5"/>
      <c r="S60" s="5"/>
      <c r="T60" s="5"/>
      <c r="U60" s="5"/>
      <c r="V60" s="5"/>
      <c r="W60" s="39"/>
      <c r="X60" s="39"/>
      <c r="Y60" s="39"/>
      <c r="Z60" s="39"/>
      <c r="AA60" s="39"/>
    </row>
    <row r="61" spans="1:27" x14ac:dyDescent="0.25">
      <c r="A61" s="4"/>
      <c r="B61" s="5"/>
      <c r="C61" s="5"/>
      <c r="D61" s="5"/>
      <c r="E61" s="5"/>
      <c r="F61" s="5"/>
      <c r="G61" s="5"/>
      <c r="H61" s="5"/>
      <c r="I61" s="5"/>
      <c r="J61" s="64"/>
      <c r="K61" s="64"/>
      <c r="L61" s="64"/>
      <c r="M61" s="64"/>
      <c r="N61" s="64"/>
      <c r="O61" s="5"/>
      <c r="P61" s="5"/>
      <c r="Q61" s="5"/>
      <c r="R61" s="5"/>
      <c r="S61" s="5"/>
      <c r="T61" s="5"/>
      <c r="U61" s="5"/>
      <c r="V61" s="5"/>
      <c r="W61" s="39"/>
      <c r="X61" s="39"/>
      <c r="Y61" s="39"/>
      <c r="Z61" s="39"/>
      <c r="AA61" s="39"/>
    </row>
    <row r="62" spans="1:27" x14ac:dyDescent="0.25">
      <c r="A62" s="4"/>
      <c r="B62" s="5"/>
      <c r="C62" s="5"/>
      <c r="D62" s="5"/>
      <c r="E62" s="5"/>
      <c r="F62" s="5"/>
      <c r="G62" s="5"/>
      <c r="H62" s="5"/>
      <c r="I62" s="5"/>
      <c r="J62" s="64"/>
      <c r="K62" s="64"/>
      <c r="L62" s="64"/>
      <c r="M62" s="64"/>
      <c r="N62" s="64"/>
      <c r="O62" s="5"/>
      <c r="P62" s="5"/>
      <c r="Q62" s="5"/>
      <c r="R62" s="5"/>
      <c r="S62" s="5"/>
      <c r="T62" s="5"/>
      <c r="U62" s="5"/>
      <c r="V62" s="5"/>
      <c r="W62" s="39"/>
      <c r="X62" s="39"/>
      <c r="Y62" s="39"/>
      <c r="Z62" s="39"/>
      <c r="AA62" s="39"/>
    </row>
    <row r="63" spans="1:27" x14ac:dyDescent="0.25">
      <c r="A63" s="4"/>
      <c r="B63" s="5"/>
      <c r="C63" s="5"/>
      <c r="D63" s="5"/>
      <c r="E63" s="5"/>
      <c r="F63" s="5"/>
      <c r="G63" s="5"/>
      <c r="H63" s="5"/>
      <c r="I63" s="5"/>
      <c r="J63" s="64"/>
      <c r="K63" s="64"/>
      <c r="L63" s="64"/>
      <c r="M63" s="64"/>
      <c r="N63" s="64"/>
      <c r="O63" s="5"/>
      <c r="P63" s="5"/>
      <c r="Q63" s="5"/>
      <c r="R63" s="5"/>
      <c r="S63" s="5"/>
      <c r="T63" s="5"/>
      <c r="U63" s="5"/>
      <c r="V63" s="5"/>
      <c r="W63" s="39"/>
      <c r="X63" s="39"/>
      <c r="Y63" s="39"/>
      <c r="Z63" s="39"/>
      <c r="AA63" s="39"/>
    </row>
    <row r="64" spans="1:27" x14ac:dyDescent="0.25">
      <c r="A64" s="4"/>
      <c r="B64" s="5"/>
      <c r="C64" s="5"/>
      <c r="D64" s="5"/>
      <c r="E64" s="5"/>
      <c r="F64" s="5"/>
      <c r="G64" s="5"/>
      <c r="H64" s="5"/>
      <c r="I64" s="5"/>
      <c r="J64" s="64"/>
      <c r="K64" s="64"/>
      <c r="L64" s="64"/>
      <c r="M64" s="64"/>
      <c r="N64" s="64"/>
      <c r="O64" s="5"/>
      <c r="P64" s="5"/>
      <c r="Q64" s="5"/>
      <c r="R64" s="5"/>
      <c r="S64" s="5"/>
      <c r="T64" s="5"/>
      <c r="U64" s="5"/>
      <c r="V64" s="5"/>
      <c r="W64" s="39"/>
      <c r="X64" s="39"/>
      <c r="Y64" s="39"/>
      <c r="Z64" s="39"/>
      <c r="AA64" s="39"/>
    </row>
    <row r="65" spans="1:27" x14ac:dyDescent="0.25">
      <c r="A65" s="4"/>
      <c r="B65" s="5"/>
      <c r="C65" s="5"/>
      <c r="D65" s="5"/>
      <c r="E65" s="5"/>
      <c r="F65" s="5"/>
      <c r="G65" s="5"/>
      <c r="H65" s="5"/>
      <c r="I65" s="5"/>
      <c r="J65" s="64"/>
      <c r="K65" s="64"/>
      <c r="L65" s="64"/>
      <c r="M65" s="64"/>
      <c r="N65" s="64"/>
      <c r="O65" s="5"/>
      <c r="P65" s="5"/>
      <c r="Q65" s="5"/>
      <c r="R65" s="5"/>
      <c r="S65" s="5"/>
      <c r="T65" s="5"/>
      <c r="U65" s="5"/>
      <c r="V65" s="5"/>
      <c r="W65" s="39"/>
      <c r="X65" s="39"/>
      <c r="Y65" s="39"/>
      <c r="Z65" s="39"/>
      <c r="AA65" s="39"/>
    </row>
    <row r="66" spans="1:27" x14ac:dyDescent="0.25">
      <c r="A66" s="4"/>
      <c r="B66" s="5"/>
      <c r="C66" s="5"/>
      <c r="D66" s="5"/>
      <c r="E66" s="5"/>
      <c r="F66" s="5"/>
      <c r="G66" s="5"/>
      <c r="H66" s="5"/>
      <c r="I66" s="5"/>
      <c r="J66" s="64"/>
      <c r="K66" s="64"/>
      <c r="L66" s="64"/>
      <c r="M66" s="64"/>
      <c r="N66" s="64"/>
      <c r="O66" s="5"/>
      <c r="P66" s="5"/>
      <c r="Q66" s="5"/>
      <c r="R66" s="5"/>
      <c r="S66" s="5"/>
      <c r="T66" s="5"/>
      <c r="U66" s="5"/>
      <c r="V66" s="5"/>
      <c r="W66" s="39"/>
      <c r="X66" s="39"/>
      <c r="Y66" s="39"/>
      <c r="Z66" s="39"/>
      <c r="AA66" s="39"/>
    </row>
    <row r="67" spans="1:27" x14ac:dyDescent="0.25">
      <c r="A67" s="4"/>
      <c r="B67" s="5"/>
      <c r="C67" s="5"/>
      <c r="D67" s="5"/>
      <c r="E67" s="5"/>
      <c r="F67" s="5"/>
      <c r="G67" s="5"/>
      <c r="H67" s="5"/>
      <c r="I67" s="5"/>
      <c r="J67" s="64"/>
      <c r="K67" s="64"/>
      <c r="L67" s="64"/>
      <c r="M67" s="64"/>
      <c r="N67" s="64"/>
      <c r="O67" s="5"/>
      <c r="P67" s="5"/>
      <c r="Q67" s="5"/>
      <c r="R67" s="5"/>
      <c r="S67" s="5"/>
      <c r="T67" s="5"/>
      <c r="U67" s="5"/>
      <c r="V67" s="5"/>
      <c r="W67" s="39"/>
      <c r="X67" s="39"/>
      <c r="Y67" s="39"/>
      <c r="Z67" s="39"/>
      <c r="AA67" s="39"/>
    </row>
    <row r="68" spans="1:27" x14ac:dyDescent="0.25">
      <c r="A68" s="4"/>
      <c r="B68" s="5"/>
      <c r="C68" s="5"/>
      <c r="D68" s="5"/>
      <c r="E68" s="5"/>
      <c r="F68" s="5"/>
      <c r="G68" s="5"/>
      <c r="H68" s="5"/>
      <c r="I68" s="5"/>
      <c r="J68" s="64"/>
      <c r="K68" s="64"/>
      <c r="L68" s="64"/>
      <c r="M68" s="64"/>
      <c r="N68" s="64"/>
      <c r="O68" s="5"/>
      <c r="P68" s="5"/>
      <c r="Q68" s="5"/>
      <c r="R68" s="5"/>
      <c r="S68" s="5"/>
      <c r="T68" s="5"/>
      <c r="U68" s="5"/>
      <c r="V68" s="5"/>
      <c r="W68" s="39"/>
      <c r="X68" s="39"/>
      <c r="Y68" s="39"/>
      <c r="Z68" s="39"/>
      <c r="AA68" s="39"/>
    </row>
    <row r="69" spans="1:27" x14ac:dyDescent="0.25">
      <c r="A69" s="4"/>
      <c r="B69" s="5"/>
      <c r="C69" s="5"/>
      <c r="D69" s="5"/>
      <c r="E69" s="5"/>
      <c r="F69" s="5"/>
      <c r="G69" s="5"/>
      <c r="H69" s="5"/>
      <c r="I69" s="5"/>
      <c r="J69" s="64"/>
      <c r="K69" s="64"/>
      <c r="L69" s="64"/>
      <c r="M69" s="64"/>
      <c r="N69" s="64"/>
      <c r="O69" s="5"/>
      <c r="P69" s="5"/>
      <c r="Q69" s="5"/>
      <c r="R69" s="5"/>
      <c r="S69" s="5"/>
      <c r="T69" s="5"/>
      <c r="U69" s="5"/>
      <c r="V69" s="5"/>
      <c r="W69" s="39"/>
      <c r="X69" s="39"/>
      <c r="Y69" s="39"/>
      <c r="Z69" s="39"/>
      <c r="AA69" s="39"/>
    </row>
    <row r="70" spans="1:27" x14ac:dyDescent="0.25">
      <c r="A70" s="4"/>
      <c r="B70" s="5"/>
      <c r="C70" s="5"/>
      <c r="D70" s="5"/>
      <c r="E70" s="5"/>
      <c r="F70" s="5"/>
      <c r="G70" s="5"/>
      <c r="H70" s="5"/>
      <c r="I70" s="5"/>
      <c r="J70" s="64"/>
      <c r="K70" s="64"/>
      <c r="L70" s="64"/>
      <c r="M70" s="64"/>
      <c r="N70" s="64"/>
      <c r="O70" s="5"/>
      <c r="P70" s="5"/>
      <c r="Q70" s="5"/>
      <c r="R70" s="5"/>
      <c r="S70" s="5"/>
      <c r="T70" s="5"/>
      <c r="U70" s="5"/>
      <c r="V70" s="5"/>
      <c r="W70" s="39"/>
      <c r="X70" s="39"/>
      <c r="Y70" s="39"/>
      <c r="Z70" s="39"/>
      <c r="AA70" s="39"/>
    </row>
    <row r="71" spans="1:27" x14ac:dyDescent="0.25">
      <c r="A71" s="4"/>
      <c r="B71" s="5"/>
      <c r="C71" s="5"/>
      <c r="D71" s="5"/>
      <c r="E71" s="5"/>
      <c r="F71" s="5"/>
      <c r="G71" s="5"/>
      <c r="H71" s="5"/>
      <c r="I71" s="5"/>
      <c r="J71" s="64"/>
      <c r="K71" s="64"/>
      <c r="L71" s="64"/>
      <c r="M71" s="64"/>
      <c r="N71" s="64"/>
      <c r="O71" s="5"/>
      <c r="P71" s="5"/>
      <c r="Q71" s="5"/>
      <c r="R71" s="5"/>
      <c r="S71" s="5"/>
      <c r="T71" s="5"/>
      <c r="U71" s="5"/>
      <c r="V71" s="5"/>
      <c r="W71" s="39"/>
      <c r="X71" s="39"/>
      <c r="Y71" s="39"/>
      <c r="Z71" s="39"/>
      <c r="AA71" s="39"/>
    </row>
    <row r="72" spans="1:27" x14ac:dyDescent="0.25">
      <c r="A72" s="4"/>
      <c r="B72" s="5"/>
      <c r="C72" s="5"/>
      <c r="D72" s="5"/>
      <c r="E72" s="5"/>
      <c r="F72" s="5"/>
      <c r="G72" s="5"/>
      <c r="H72" s="5"/>
      <c r="I72" s="5"/>
      <c r="J72" s="64"/>
      <c r="K72" s="64"/>
      <c r="L72" s="64"/>
      <c r="M72" s="64"/>
      <c r="N72" s="64"/>
      <c r="O72" s="5"/>
      <c r="P72" s="5"/>
      <c r="Q72" s="5"/>
      <c r="R72" s="5"/>
      <c r="S72" s="5"/>
      <c r="T72" s="5"/>
      <c r="U72" s="5"/>
      <c r="V72" s="5"/>
      <c r="W72" s="39"/>
      <c r="X72" s="39"/>
      <c r="Y72" s="39"/>
      <c r="Z72" s="39"/>
      <c r="AA72" s="39"/>
    </row>
    <row r="73" spans="1:27" x14ac:dyDescent="0.25">
      <c r="A73" s="4"/>
      <c r="B73" s="5"/>
      <c r="C73" s="5"/>
      <c r="D73" s="5"/>
      <c r="E73" s="5"/>
      <c r="F73" s="5"/>
      <c r="G73" s="5"/>
      <c r="H73" s="5"/>
      <c r="I73" s="5"/>
      <c r="J73" s="64"/>
      <c r="K73" s="64"/>
      <c r="L73" s="64"/>
      <c r="M73" s="64"/>
      <c r="N73" s="64"/>
      <c r="O73" s="5"/>
      <c r="P73" s="5"/>
      <c r="Q73" s="5"/>
      <c r="R73" s="5"/>
      <c r="S73" s="5"/>
      <c r="T73" s="5"/>
      <c r="U73" s="5"/>
      <c r="V73" s="5"/>
      <c r="W73" s="39"/>
      <c r="X73" s="39"/>
      <c r="Y73" s="39"/>
      <c r="Z73" s="39"/>
      <c r="AA73" s="39"/>
    </row>
    <row r="74" spans="1:27" x14ac:dyDescent="0.25">
      <c r="A74" s="4"/>
      <c r="B74" s="5"/>
      <c r="C74" s="5"/>
      <c r="D74" s="5"/>
      <c r="E74" s="5"/>
      <c r="F74" s="5"/>
      <c r="G74" s="5"/>
      <c r="H74" s="5"/>
      <c r="I74" s="5"/>
      <c r="J74" s="64"/>
      <c r="K74" s="64"/>
      <c r="L74" s="64"/>
      <c r="M74" s="64"/>
      <c r="N74" s="64"/>
      <c r="O74" s="5"/>
      <c r="P74" s="5"/>
      <c r="Q74" s="5"/>
      <c r="R74" s="5"/>
      <c r="S74" s="5"/>
      <c r="T74" s="5"/>
      <c r="U74" s="5"/>
      <c r="V74" s="5"/>
      <c r="W74" s="39"/>
      <c r="X74" s="39"/>
      <c r="Y74" s="39"/>
      <c r="Z74" s="39"/>
      <c r="AA74" s="39"/>
    </row>
    <row r="75" spans="1:27" x14ac:dyDescent="0.25">
      <c r="A75" s="4"/>
      <c r="B75" s="5"/>
      <c r="C75" s="5"/>
      <c r="D75" s="5"/>
      <c r="E75" s="5"/>
      <c r="F75" s="5"/>
      <c r="G75" s="5"/>
      <c r="H75" s="5"/>
      <c r="I75" s="5"/>
      <c r="J75" s="64"/>
      <c r="K75" s="64"/>
      <c r="L75" s="64"/>
      <c r="M75" s="64"/>
      <c r="N75" s="64"/>
      <c r="O75" s="5"/>
      <c r="P75" s="5"/>
      <c r="Q75" s="5"/>
      <c r="R75" s="5"/>
      <c r="S75" s="5"/>
      <c r="T75" s="5"/>
      <c r="U75" s="5"/>
      <c r="V75" s="5"/>
      <c r="W75" s="39"/>
      <c r="X75" s="39"/>
      <c r="Y75" s="39"/>
      <c r="Z75" s="39"/>
      <c r="AA75" s="39"/>
    </row>
    <row r="76" spans="1:27" x14ac:dyDescent="0.25">
      <c r="A76" s="4"/>
      <c r="B76" s="5"/>
      <c r="C76" s="5"/>
      <c r="D76" s="5"/>
      <c r="E76" s="5"/>
      <c r="F76" s="5"/>
      <c r="G76" s="5"/>
      <c r="H76" s="5"/>
      <c r="I76" s="5"/>
      <c r="J76" s="64"/>
      <c r="K76" s="64"/>
      <c r="L76" s="64"/>
      <c r="M76" s="64"/>
      <c r="N76" s="64"/>
      <c r="O76" s="5"/>
      <c r="P76" s="5"/>
      <c r="Q76" s="5"/>
      <c r="R76" s="5"/>
      <c r="S76" s="5"/>
      <c r="T76" s="5"/>
      <c r="U76" s="5"/>
      <c r="V76" s="5"/>
      <c r="W76" s="39"/>
      <c r="X76" s="39"/>
      <c r="Y76" s="39"/>
      <c r="Z76" s="39"/>
      <c r="AA76" s="39"/>
    </row>
    <row r="77" spans="1:27" x14ac:dyDescent="0.25">
      <c r="A77" s="4"/>
      <c r="B77" s="5"/>
      <c r="C77" s="5"/>
      <c r="D77" s="5"/>
      <c r="E77" s="5"/>
      <c r="F77" s="5"/>
      <c r="G77" s="5"/>
      <c r="H77" s="5"/>
      <c r="I77" s="5"/>
      <c r="J77" s="64"/>
      <c r="K77" s="64"/>
      <c r="L77" s="64"/>
      <c r="M77" s="64"/>
      <c r="N77" s="64"/>
      <c r="O77" s="5"/>
      <c r="P77" s="5"/>
      <c r="Q77" s="5"/>
      <c r="R77" s="5"/>
      <c r="S77" s="5"/>
      <c r="T77" s="5"/>
      <c r="U77" s="5"/>
      <c r="V77" s="5"/>
      <c r="W77" s="39"/>
      <c r="X77" s="39"/>
      <c r="Y77" s="39"/>
      <c r="Z77" s="39"/>
      <c r="AA77" s="39"/>
    </row>
    <row r="78" spans="1:27" x14ac:dyDescent="0.25">
      <c r="A78" s="4"/>
      <c r="B78" s="5"/>
      <c r="C78" s="5"/>
      <c r="D78" s="5"/>
      <c r="E78" s="5"/>
      <c r="F78" s="5"/>
      <c r="G78" s="5"/>
      <c r="H78" s="5"/>
      <c r="I78" s="5"/>
      <c r="J78" s="64"/>
      <c r="K78" s="64"/>
      <c r="L78" s="64"/>
      <c r="M78" s="64"/>
      <c r="N78" s="64"/>
      <c r="O78" s="5"/>
      <c r="P78" s="5"/>
      <c r="Q78" s="5"/>
      <c r="R78" s="5"/>
      <c r="S78" s="5"/>
      <c r="T78" s="5"/>
      <c r="U78" s="5"/>
      <c r="V78" s="5"/>
      <c r="W78" s="39"/>
      <c r="X78" s="39"/>
      <c r="Y78" s="39"/>
      <c r="Z78" s="39"/>
      <c r="AA78" s="39"/>
    </row>
    <row r="79" spans="1:27" x14ac:dyDescent="0.25">
      <c r="A79" s="4"/>
      <c r="B79" s="5"/>
      <c r="C79" s="5"/>
      <c r="D79" s="5"/>
      <c r="E79" s="5"/>
      <c r="F79" s="5"/>
      <c r="G79" s="5"/>
      <c r="H79" s="5"/>
      <c r="I79" s="5"/>
      <c r="J79" s="64"/>
      <c r="K79" s="64"/>
      <c r="L79" s="64"/>
      <c r="M79" s="64"/>
      <c r="N79" s="64"/>
      <c r="O79" s="5"/>
      <c r="P79" s="5"/>
      <c r="Q79" s="5"/>
      <c r="R79" s="5"/>
      <c r="S79" s="5"/>
      <c r="T79" s="5"/>
      <c r="U79" s="5"/>
      <c r="V79" s="5"/>
      <c r="W79" s="39"/>
      <c r="X79" s="39"/>
      <c r="Y79" s="39"/>
      <c r="Z79" s="39"/>
      <c r="AA79" s="39"/>
    </row>
    <row r="80" spans="1:27" x14ac:dyDescent="0.25">
      <c r="A80" s="4"/>
      <c r="B80" s="5"/>
      <c r="C80" s="5"/>
      <c r="D80" s="5"/>
      <c r="E80" s="5"/>
      <c r="F80" s="5"/>
      <c r="G80" s="5"/>
      <c r="H80" s="5"/>
      <c r="I80" s="5"/>
      <c r="J80" s="64"/>
      <c r="K80" s="64"/>
      <c r="L80" s="64"/>
      <c r="M80" s="64"/>
      <c r="N80" s="64"/>
      <c r="O80" s="5"/>
      <c r="P80" s="5"/>
      <c r="Q80" s="5"/>
      <c r="R80" s="5"/>
      <c r="S80" s="5"/>
      <c r="T80" s="5"/>
      <c r="U80" s="5"/>
      <c r="V80" s="5"/>
      <c r="W80" s="39"/>
      <c r="X80" s="39"/>
      <c r="Y80" s="39"/>
      <c r="Z80" s="39"/>
      <c r="AA80" s="39"/>
    </row>
    <row r="81" spans="1:27" x14ac:dyDescent="0.25">
      <c r="A81" s="4"/>
      <c r="B81" s="5"/>
      <c r="C81" s="5"/>
      <c r="D81" s="5"/>
      <c r="E81" s="5"/>
      <c r="F81" s="5"/>
      <c r="G81" s="5"/>
      <c r="H81" s="5"/>
      <c r="I81" s="5"/>
      <c r="J81" s="64"/>
      <c r="K81" s="64"/>
      <c r="L81" s="64"/>
      <c r="M81" s="64"/>
      <c r="N81" s="64"/>
      <c r="O81" s="5"/>
      <c r="P81" s="5"/>
      <c r="Q81" s="5"/>
      <c r="R81" s="5"/>
      <c r="S81" s="5"/>
      <c r="T81" s="5"/>
      <c r="U81" s="5"/>
      <c r="V81" s="5"/>
      <c r="W81" s="39"/>
      <c r="X81" s="39"/>
      <c r="Y81" s="39"/>
      <c r="Z81" s="39"/>
      <c r="AA81" s="39"/>
    </row>
    <row r="82" spans="1:27" x14ac:dyDescent="0.25">
      <c r="A82" s="4"/>
      <c r="B82" s="5"/>
      <c r="C82" s="5"/>
      <c r="D82" s="5"/>
      <c r="E82" s="5"/>
      <c r="F82" s="5"/>
      <c r="G82" s="5"/>
      <c r="H82" s="5"/>
      <c r="I82" s="5"/>
      <c r="J82" s="64"/>
      <c r="K82" s="64"/>
      <c r="L82" s="64"/>
      <c r="M82" s="64"/>
      <c r="N82" s="64"/>
      <c r="O82" s="5"/>
      <c r="P82" s="5"/>
      <c r="Q82" s="5"/>
      <c r="R82" s="5"/>
      <c r="S82" s="5"/>
      <c r="T82" s="5"/>
      <c r="U82" s="5"/>
      <c r="V82" s="5"/>
      <c r="W82" s="39"/>
      <c r="X82" s="39"/>
      <c r="Y82" s="39"/>
      <c r="Z82" s="39"/>
      <c r="AA82" s="39"/>
    </row>
    <row r="83" spans="1:27" x14ac:dyDescent="0.25">
      <c r="A83" s="4"/>
      <c r="B83" s="5"/>
      <c r="C83" s="5"/>
      <c r="D83" s="5"/>
      <c r="E83" s="5"/>
      <c r="F83" s="5"/>
      <c r="G83" s="5"/>
      <c r="H83" s="5"/>
      <c r="I83" s="5"/>
      <c r="J83" s="64"/>
      <c r="K83" s="64"/>
      <c r="L83" s="64"/>
      <c r="M83" s="64"/>
      <c r="N83" s="64"/>
      <c r="O83" s="5"/>
      <c r="P83" s="5"/>
      <c r="Q83" s="5"/>
      <c r="R83" s="5"/>
      <c r="S83" s="5"/>
      <c r="T83" s="5"/>
      <c r="U83" s="5"/>
      <c r="V83" s="5"/>
      <c r="W83" s="39"/>
      <c r="X83" s="39"/>
      <c r="Y83" s="39"/>
      <c r="Z83" s="39"/>
      <c r="AA83" s="39"/>
    </row>
    <row r="84" spans="1:27" x14ac:dyDescent="0.25">
      <c r="A84" s="4"/>
      <c r="B84" s="5"/>
      <c r="C84" s="5"/>
      <c r="D84" s="5"/>
      <c r="E84" s="5"/>
      <c r="F84" s="5"/>
      <c r="G84" s="5"/>
      <c r="H84" s="5"/>
      <c r="I84" s="5"/>
      <c r="J84" s="64"/>
      <c r="K84" s="64"/>
      <c r="L84" s="64"/>
      <c r="M84" s="64"/>
      <c r="N84" s="64"/>
      <c r="O84" s="5"/>
      <c r="P84" s="5"/>
      <c r="Q84" s="5"/>
      <c r="R84" s="5"/>
      <c r="S84" s="5"/>
      <c r="T84" s="5"/>
      <c r="U84" s="5"/>
      <c r="V84" s="5"/>
      <c r="W84" s="39"/>
      <c r="X84" s="39"/>
      <c r="Y84" s="39"/>
      <c r="Z84" s="39"/>
      <c r="AA84" s="39"/>
    </row>
    <row r="85" spans="1:27" x14ac:dyDescent="0.25">
      <c r="A85" s="4"/>
      <c r="B85" s="5"/>
      <c r="C85" s="5"/>
      <c r="D85" s="5"/>
      <c r="E85" s="5"/>
      <c r="F85" s="5"/>
      <c r="G85" s="5"/>
      <c r="H85" s="5"/>
      <c r="I85" s="5"/>
      <c r="J85" s="64"/>
      <c r="K85" s="64"/>
      <c r="L85" s="64"/>
      <c r="M85" s="64"/>
      <c r="N85" s="64"/>
      <c r="O85" s="5"/>
      <c r="P85" s="5"/>
      <c r="Q85" s="5"/>
      <c r="R85" s="5"/>
      <c r="S85" s="5"/>
      <c r="T85" s="5"/>
      <c r="U85" s="5"/>
      <c r="V85" s="5"/>
      <c r="W85" s="39"/>
      <c r="X85" s="39"/>
      <c r="Y85" s="39"/>
      <c r="Z85" s="39"/>
      <c r="AA85" s="39"/>
    </row>
    <row r="86" spans="1:27" x14ac:dyDescent="0.25">
      <c r="A86" s="4"/>
      <c r="B86" s="5"/>
      <c r="C86" s="5"/>
      <c r="D86" s="5"/>
      <c r="E86" s="5"/>
      <c r="F86" s="5"/>
      <c r="G86" s="5"/>
      <c r="H86" s="5"/>
      <c r="I86" s="5"/>
      <c r="J86" s="64"/>
      <c r="K86" s="64"/>
      <c r="L86" s="64"/>
      <c r="M86" s="64"/>
      <c r="N86" s="64"/>
      <c r="O86" s="5"/>
      <c r="P86" s="5"/>
      <c r="Q86" s="5"/>
      <c r="R86" s="5"/>
      <c r="S86" s="5"/>
      <c r="T86" s="5"/>
      <c r="U86" s="5"/>
      <c r="V86" s="5"/>
      <c r="W86" s="39"/>
      <c r="X86" s="39"/>
      <c r="Y86" s="39"/>
      <c r="Z86" s="39"/>
      <c r="AA86" s="39"/>
    </row>
    <row r="87" spans="1:27" x14ac:dyDescent="0.25">
      <c r="A87" s="4"/>
      <c r="B87" s="5"/>
      <c r="C87" s="5"/>
      <c r="D87" s="5"/>
      <c r="E87" s="5"/>
      <c r="F87" s="5"/>
      <c r="G87" s="5"/>
      <c r="H87" s="5"/>
      <c r="I87" s="5"/>
      <c r="J87" s="64"/>
      <c r="K87" s="64"/>
      <c r="L87" s="64"/>
      <c r="M87" s="64"/>
      <c r="N87" s="64"/>
      <c r="O87" s="5"/>
      <c r="P87" s="5"/>
      <c r="Q87" s="5"/>
      <c r="R87" s="5"/>
      <c r="S87" s="5"/>
      <c r="T87" s="5"/>
      <c r="U87" s="5"/>
      <c r="V87" s="5"/>
      <c r="W87" s="39"/>
      <c r="X87" s="39"/>
      <c r="Y87" s="39"/>
      <c r="Z87" s="39"/>
      <c r="AA87" s="39"/>
    </row>
    <row r="88" spans="1:27" x14ac:dyDescent="0.25">
      <c r="A88" s="4"/>
      <c r="B88" s="5"/>
      <c r="C88" s="5"/>
      <c r="D88" s="5"/>
      <c r="E88" s="5"/>
      <c r="F88" s="5"/>
      <c r="G88" s="5"/>
      <c r="H88" s="5"/>
      <c r="I88" s="5"/>
      <c r="J88" s="64"/>
      <c r="K88" s="64"/>
      <c r="L88" s="64"/>
      <c r="M88" s="64"/>
      <c r="N88" s="64"/>
      <c r="O88" s="5"/>
      <c r="P88" s="5"/>
      <c r="Q88" s="5"/>
      <c r="R88" s="5"/>
      <c r="S88" s="5"/>
      <c r="T88" s="5"/>
      <c r="U88" s="5"/>
      <c r="V88" s="5"/>
      <c r="W88" s="39"/>
      <c r="X88" s="39"/>
      <c r="Y88" s="39"/>
      <c r="Z88" s="39"/>
      <c r="AA88" s="39"/>
    </row>
    <row r="89" spans="1:27" x14ac:dyDescent="0.25">
      <c r="A89" s="4"/>
      <c r="B89" s="5"/>
      <c r="C89" s="5"/>
      <c r="D89" s="5"/>
      <c r="E89" s="5"/>
      <c r="F89" s="5"/>
      <c r="G89" s="5"/>
      <c r="H89" s="5"/>
      <c r="I89" s="5"/>
      <c r="J89" s="64"/>
      <c r="K89" s="64"/>
      <c r="L89" s="64"/>
      <c r="M89" s="64"/>
      <c r="N89" s="64"/>
      <c r="O89" s="5"/>
      <c r="P89" s="5"/>
      <c r="Q89" s="5"/>
      <c r="R89" s="5"/>
      <c r="S89" s="5"/>
      <c r="T89" s="5"/>
      <c r="U89" s="5"/>
      <c r="V89" s="5"/>
      <c r="W89" s="39"/>
      <c r="X89" s="39"/>
      <c r="Y89" s="39"/>
      <c r="Z89" s="39"/>
      <c r="AA89" s="39"/>
    </row>
    <row r="90" spans="1:27" x14ac:dyDescent="0.25">
      <c r="A90" s="4"/>
      <c r="B90" s="5"/>
      <c r="C90" s="5"/>
      <c r="D90" s="5"/>
      <c r="E90" s="5"/>
      <c r="F90" s="5"/>
      <c r="G90" s="5"/>
      <c r="H90" s="5"/>
      <c r="I90" s="5"/>
      <c r="J90" s="64"/>
      <c r="K90" s="64"/>
      <c r="L90" s="64"/>
      <c r="M90" s="64"/>
      <c r="N90" s="64"/>
      <c r="O90" s="5"/>
      <c r="P90" s="5"/>
      <c r="Q90" s="5"/>
      <c r="R90" s="5"/>
      <c r="S90" s="5"/>
      <c r="T90" s="5"/>
      <c r="U90" s="5"/>
      <c r="V90" s="5"/>
      <c r="W90" s="39"/>
      <c r="X90" s="39"/>
      <c r="Y90" s="39"/>
      <c r="Z90" s="39"/>
      <c r="AA90" s="39"/>
    </row>
    <row r="91" spans="1:27" x14ac:dyDescent="0.25">
      <c r="A91" s="4"/>
      <c r="B91" s="5"/>
      <c r="C91" s="5"/>
      <c r="D91" s="5"/>
      <c r="E91" s="5"/>
      <c r="F91" s="5"/>
      <c r="G91" s="5"/>
      <c r="H91" s="5"/>
      <c r="I91" s="5"/>
      <c r="J91" s="64"/>
      <c r="K91" s="64"/>
      <c r="L91" s="64"/>
      <c r="M91" s="64"/>
      <c r="N91" s="64"/>
      <c r="O91" s="5"/>
      <c r="P91" s="5"/>
      <c r="Q91" s="5"/>
      <c r="R91" s="5"/>
      <c r="S91" s="5"/>
      <c r="T91" s="5"/>
      <c r="U91" s="5"/>
      <c r="V91" s="5"/>
      <c r="W91" s="39"/>
      <c r="X91" s="39"/>
      <c r="Y91" s="39"/>
      <c r="Z91" s="39"/>
      <c r="AA91" s="39"/>
    </row>
    <row r="92" spans="1:27" x14ac:dyDescent="0.25">
      <c r="A92" s="4"/>
      <c r="B92" s="5"/>
      <c r="C92" s="5"/>
      <c r="D92" s="5"/>
      <c r="E92" s="5"/>
      <c r="F92" s="5"/>
      <c r="G92" s="5"/>
      <c r="H92" s="5"/>
      <c r="I92" s="5"/>
      <c r="J92" s="64"/>
      <c r="K92" s="64"/>
      <c r="L92" s="64"/>
      <c r="M92" s="64"/>
      <c r="N92" s="64"/>
      <c r="O92" s="5"/>
      <c r="P92" s="5"/>
      <c r="Q92" s="5"/>
      <c r="R92" s="5"/>
      <c r="S92" s="5"/>
      <c r="T92" s="5"/>
      <c r="U92" s="5"/>
      <c r="V92" s="5"/>
      <c r="W92" s="39"/>
      <c r="X92" s="39"/>
      <c r="Y92" s="39"/>
      <c r="Z92" s="39"/>
      <c r="AA92" s="39"/>
    </row>
    <row r="93" spans="1:27" x14ac:dyDescent="0.25">
      <c r="A93" s="4"/>
      <c r="B93" s="5"/>
      <c r="C93" s="5"/>
      <c r="D93" s="5"/>
      <c r="E93" s="5"/>
      <c r="F93" s="5"/>
      <c r="G93" s="5"/>
      <c r="H93" s="5"/>
      <c r="I93" s="5"/>
      <c r="J93" s="64"/>
      <c r="K93" s="64"/>
      <c r="L93" s="64"/>
      <c r="M93" s="64"/>
      <c r="N93" s="64"/>
      <c r="O93" s="5"/>
      <c r="P93" s="5"/>
      <c r="Q93" s="5"/>
      <c r="R93" s="5"/>
      <c r="S93" s="5"/>
      <c r="T93" s="5"/>
      <c r="U93" s="5"/>
      <c r="V93" s="5"/>
      <c r="W93" s="39"/>
      <c r="X93" s="39"/>
      <c r="Y93" s="39"/>
      <c r="Z93" s="39"/>
      <c r="AA93" s="39"/>
    </row>
    <row r="94" spans="1:27" x14ac:dyDescent="0.25">
      <c r="A94" s="4"/>
      <c r="B94" s="5"/>
      <c r="C94" s="5"/>
      <c r="D94" s="5"/>
      <c r="E94" s="5"/>
      <c r="F94" s="5"/>
      <c r="G94" s="5"/>
      <c r="H94" s="5"/>
      <c r="I94" s="5"/>
      <c r="J94" s="64"/>
      <c r="K94" s="64"/>
      <c r="L94" s="64"/>
      <c r="M94" s="64"/>
      <c r="N94" s="64"/>
      <c r="O94" s="5"/>
      <c r="P94" s="5"/>
      <c r="Q94" s="5"/>
      <c r="R94" s="5"/>
      <c r="S94" s="5"/>
      <c r="T94" s="5"/>
      <c r="U94" s="5"/>
      <c r="V94" s="5"/>
      <c r="W94" s="39"/>
      <c r="X94" s="39"/>
      <c r="Y94" s="39"/>
      <c r="Z94" s="39"/>
      <c r="AA94" s="39"/>
    </row>
    <row r="95" spans="1:27" x14ac:dyDescent="0.25">
      <c r="A95" s="4"/>
      <c r="B95" s="5"/>
      <c r="C95" s="5"/>
      <c r="D95" s="5"/>
      <c r="E95" s="5"/>
      <c r="F95" s="5"/>
      <c r="G95" s="5"/>
      <c r="H95" s="5"/>
      <c r="I95" s="5"/>
      <c r="J95" s="64"/>
      <c r="K95" s="64"/>
      <c r="L95" s="64"/>
      <c r="M95" s="64"/>
      <c r="N95" s="64"/>
      <c r="O95" s="5"/>
      <c r="P95" s="5"/>
      <c r="Q95" s="5"/>
      <c r="R95" s="5"/>
      <c r="S95" s="5"/>
      <c r="T95" s="5"/>
      <c r="U95" s="5"/>
      <c r="V95" s="5"/>
      <c r="W95" s="39"/>
      <c r="X95" s="39"/>
      <c r="Y95" s="39"/>
      <c r="Z95" s="39"/>
      <c r="AA95" s="39"/>
    </row>
    <row r="96" spans="1:27" x14ac:dyDescent="0.25">
      <c r="A96" s="4"/>
      <c r="B96" s="5"/>
      <c r="C96" s="5"/>
      <c r="D96" s="5"/>
      <c r="E96" s="5"/>
      <c r="F96" s="5"/>
      <c r="G96" s="5"/>
      <c r="H96" s="5"/>
      <c r="I96" s="5"/>
      <c r="J96" s="64"/>
      <c r="K96" s="64"/>
      <c r="L96" s="64"/>
      <c r="M96" s="64"/>
      <c r="N96" s="64"/>
      <c r="O96" s="5"/>
      <c r="P96" s="5"/>
      <c r="Q96" s="5"/>
      <c r="R96" s="5"/>
      <c r="S96" s="5"/>
      <c r="T96" s="5"/>
      <c r="U96" s="5"/>
      <c r="V96" s="5"/>
      <c r="W96" s="39"/>
      <c r="X96" s="39"/>
      <c r="Y96" s="39"/>
      <c r="Z96" s="39"/>
      <c r="AA96" s="39"/>
    </row>
    <row r="97" spans="1:27" x14ac:dyDescent="0.25">
      <c r="A97" s="4"/>
      <c r="B97" s="5"/>
      <c r="C97" s="5"/>
      <c r="D97" s="5"/>
      <c r="E97" s="5"/>
      <c r="F97" s="5"/>
      <c r="G97" s="5"/>
      <c r="H97" s="5"/>
      <c r="I97" s="5"/>
      <c r="J97" s="64"/>
      <c r="K97" s="64"/>
      <c r="L97" s="64"/>
      <c r="M97" s="64"/>
      <c r="N97" s="64"/>
      <c r="O97" s="5"/>
      <c r="P97" s="5"/>
      <c r="Q97" s="5"/>
      <c r="R97" s="5"/>
      <c r="S97" s="5"/>
      <c r="T97" s="5"/>
      <c r="U97" s="5"/>
      <c r="V97" s="5"/>
      <c r="W97" s="39"/>
      <c r="X97" s="39"/>
      <c r="Y97" s="39"/>
      <c r="Z97" s="39"/>
      <c r="AA97" s="39"/>
    </row>
    <row r="98" spans="1:27" x14ac:dyDescent="0.25">
      <c r="A98" s="4"/>
      <c r="B98" s="5"/>
      <c r="C98" s="5"/>
      <c r="D98" s="5"/>
      <c r="E98" s="5"/>
      <c r="F98" s="5"/>
      <c r="G98" s="5"/>
      <c r="H98" s="5"/>
      <c r="I98" s="5"/>
      <c r="J98" s="64"/>
      <c r="K98" s="64"/>
      <c r="L98" s="64"/>
      <c r="M98" s="64"/>
      <c r="N98" s="64"/>
      <c r="O98" s="5"/>
      <c r="P98" s="5"/>
      <c r="Q98" s="5"/>
      <c r="R98" s="5"/>
      <c r="S98" s="5"/>
      <c r="T98" s="5"/>
      <c r="U98" s="5"/>
      <c r="V98" s="5"/>
      <c r="W98" s="39"/>
      <c r="X98" s="39"/>
      <c r="Y98" s="39"/>
      <c r="Z98" s="39"/>
      <c r="AA98" s="39"/>
    </row>
    <row r="99" spans="1:27" x14ac:dyDescent="0.25">
      <c r="A99" s="4"/>
      <c r="B99" s="5"/>
      <c r="C99" s="5"/>
      <c r="D99" s="5"/>
      <c r="E99" s="5"/>
      <c r="F99" s="5"/>
      <c r="G99" s="5"/>
      <c r="H99" s="5"/>
      <c r="I99" s="5"/>
      <c r="J99" s="64"/>
      <c r="K99" s="64"/>
      <c r="L99" s="64"/>
      <c r="M99" s="64"/>
      <c r="N99" s="64"/>
      <c r="O99" s="5"/>
      <c r="P99" s="5"/>
      <c r="Q99" s="5"/>
      <c r="R99" s="5"/>
      <c r="S99" s="5"/>
      <c r="T99" s="5"/>
      <c r="U99" s="5"/>
      <c r="V99" s="5"/>
      <c r="W99" s="39"/>
      <c r="X99" s="39"/>
      <c r="Y99" s="39"/>
      <c r="Z99" s="39"/>
      <c r="AA99" s="39"/>
    </row>
    <row r="100" spans="1:27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64"/>
      <c r="K100" s="64"/>
      <c r="L100" s="64"/>
      <c r="M100" s="64"/>
      <c r="N100" s="64"/>
      <c r="O100" s="5"/>
      <c r="P100" s="5"/>
      <c r="Q100" s="5"/>
      <c r="R100" s="5"/>
      <c r="S100" s="5"/>
      <c r="T100" s="5"/>
      <c r="U100" s="5"/>
      <c r="V100" s="5"/>
      <c r="W100" s="39"/>
      <c r="X100" s="39"/>
      <c r="Y100" s="39"/>
      <c r="Z100" s="39"/>
      <c r="AA100" s="39"/>
    </row>
    <row r="101" spans="1:27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64"/>
      <c r="K101" s="64"/>
      <c r="L101" s="64"/>
      <c r="M101" s="64"/>
      <c r="N101" s="64"/>
      <c r="O101" s="5"/>
      <c r="P101" s="5"/>
      <c r="Q101" s="5"/>
      <c r="R101" s="5"/>
      <c r="S101" s="5"/>
      <c r="T101" s="5"/>
      <c r="U101" s="5"/>
      <c r="V101" s="5"/>
      <c r="W101" s="39"/>
      <c r="X101" s="39"/>
      <c r="Y101" s="39"/>
      <c r="Z101" s="39"/>
      <c r="AA101" s="39"/>
    </row>
    <row r="102" spans="1:27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64"/>
      <c r="K102" s="64"/>
      <c r="L102" s="64"/>
      <c r="M102" s="64"/>
      <c r="N102" s="64"/>
      <c r="O102" s="5"/>
      <c r="P102" s="5"/>
      <c r="Q102" s="5"/>
      <c r="R102" s="5"/>
      <c r="S102" s="5"/>
      <c r="T102" s="5"/>
      <c r="U102" s="5"/>
      <c r="V102" s="5"/>
      <c r="W102" s="39"/>
      <c r="X102" s="39"/>
      <c r="Y102" s="39"/>
      <c r="Z102" s="39"/>
      <c r="AA102" s="39"/>
    </row>
    <row r="103" spans="1:27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64"/>
      <c r="K103" s="64"/>
      <c r="L103" s="64"/>
      <c r="M103" s="64"/>
      <c r="N103" s="64"/>
      <c r="O103" s="5"/>
      <c r="P103" s="5"/>
      <c r="Q103" s="5"/>
      <c r="R103" s="5"/>
      <c r="S103" s="5"/>
      <c r="T103" s="5"/>
      <c r="U103" s="5"/>
      <c r="V103" s="5"/>
      <c r="W103" s="39"/>
      <c r="X103" s="39"/>
      <c r="Y103" s="39"/>
      <c r="Z103" s="39"/>
      <c r="AA103" s="39"/>
    </row>
    <row r="104" spans="1:27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64"/>
      <c r="K104" s="64"/>
      <c r="L104" s="64"/>
      <c r="M104" s="64"/>
      <c r="N104" s="64"/>
      <c r="O104" s="5"/>
      <c r="P104" s="5"/>
      <c r="Q104" s="5"/>
      <c r="R104" s="5"/>
      <c r="S104" s="5"/>
      <c r="T104" s="5"/>
      <c r="U104" s="5"/>
      <c r="V104" s="5"/>
      <c r="W104" s="39"/>
      <c r="X104" s="39"/>
      <c r="Y104" s="39"/>
      <c r="Z104" s="39"/>
      <c r="AA104" s="39"/>
    </row>
    <row r="105" spans="1:27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64"/>
      <c r="K105" s="64"/>
      <c r="L105" s="64"/>
      <c r="M105" s="64"/>
      <c r="N105" s="64"/>
      <c r="O105" s="5"/>
      <c r="P105" s="5"/>
      <c r="Q105" s="5"/>
      <c r="R105" s="5"/>
      <c r="S105" s="5"/>
      <c r="T105" s="5"/>
      <c r="U105" s="5"/>
      <c r="V105" s="5"/>
      <c r="W105" s="39"/>
      <c r="X105" s="39"/>
      <c r="Y105" s="39"/>
      <c r="Z105" s="39"/>
      <c r="AA105" s="39"/>
    </row>
    <row r="106" spans="1:27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64"/>
      <c r="K106" s="64"/>
      <c r="L106" s="64"/>
      <c r="M106" s="64"/>
      <c r="N106" s="64"/>
      <c r="O106" s="5"/>
      <c r="P106" s="5"/>
      <c r="Q106" s="5"/>
      <c r="R106" s="5"/>
      <c r="S106" s="5"/>
      <c r="T106" s="5"/>
      <c r="U106" s="5"/>
      <c r="V106" s="5"/>
      <c r="W106" s="39"/>
      <c r="X106" s="39"/>
      <c r="Y106" s="39"/>
      <c r="Z106" s="39"/>
      <c r="AA106" s="39"/>
    </row>
    <row r="107" spans="1:27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64"/>
      <c r="K107" s="64"/>
      <c r="L107" s="64"/>
      <c r="M107" s="64"/>
      <c r="N107" s="64"/>
      <c r="O107" s="5"/>
      <c r="P107" s="5"/>
      <c r="Q107" s="5"/>
      <c r="R107" s="5"/>
      <c r="S107" s="5"/>
      <c r="T107" s="5"/>
      <c r="U107" s="5"/>
      <c r="V107" s="5"/>
      <c r="W107" s="39"/>
      <c r="X107" s="39"/>
      <c r="Y107" s="39"/>
      <c r="Z107" s="39"/>
      <c r="AA107" s="39"/>
    </row>
    <row r="108" spans="1:27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64"/>
      <c r="K108" s="64"/>
      <c r="L108" s="64"/>
      <c r="M108" s="64"/>
      <c r="N108" s="64"/>
      <c r="O108" s="5"/>
      <c r="P108" s="5"/>
      <c r="Q108" s="5"/>
      <c r="R108" s="5"/>
      <c r="S108" s="5"/>
      <c r="T108" s="5"/>
      <c r="U108" s="5"/>
      <c r="V108" s="5"/>
      <c r="W108" s="39"/>
      <c r="X108" s="39"/>
      <c r="Y108" s="39"/>
      <c r="Z108" s="39"/>
      <c r="AA108" s="39"/>
    </row>
    <row r="109" spans="1:27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64"/>
      <c r="K109" s="64"/>
      <c r="L109" s="64"/>
      <c r="M109" s="64"/>
      <c r="N109" s="64"/>
      <c r="O109" s="5"/>
      <c r="P109" s="5"/>
      <c r="Q109" s="5"/>
      <c r="R109" s="5"/>
      <c r="S109" s="5"/>
      <c r="T109" s="5"/>
      <c r="U109" s="5"/>
      <c r="V109" s="5"/>
      <c r="W109" s="39"/>
      <c r="X109" s="39"/>
      <c r="Y109" s="39"/>
      <c r="Z109" s="39"/>
      <c r="AA109" s="39"/>
    </row>
    <row r="110" spans="1:27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64"/>
      <c r="K110" s="64"/>
      <c r="L110" s="64"/>
      <c r="M110" s="64"/>
      <c r="N110" s="64"/>
      <c r="O110" s="5"/>
      <c r="P110" s="5"/>
      <c r="Q110" s="5"/>
      <c r="R110" s="5"/>
      <c r="S110" s="5"/>
      <c r="T110" s="5"/>
      <c r="U110" s="5"/>
      <c r="V110" s="5"/>
      <c r="W110" s="39"/>
      <c r="X110" s="39"/>
      <c r="Y110" s="39"/>
      <c r="Z110" s="39"/>
      <c r="AA110" s="39"/>
    </row>
    <row r="111" spans="1:27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64"/>
      <c r="K111" s="64"/>
      <c r="L111" s="64"/>
      <c r="M111" s="64"/>
      <c r="N111" s="64"/>
      <c r="O111" s="5"/>
      <c r="P111" s="5"/>
      <c r="Q111" s="5"/>
      <c r="R111" s="5"/>
      <c r="S111" s="5"/>
      <c r="T111" s="5"/>
      <c r="U111" s="5"/>
      <c r="V111" s="5"/>
      <c r="W111" s="39"/>
      <c r="X111" s="39"/>
      <c r="Y111" s="39"/>
      <c r="Z111" s="39"/>
      <c r="AA111" s="39"/>
    </row>
    <row r="112" spans="1:27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64"/>
      <c r="K112" s="64"/>
      <c r="L112" s="64"/>
      <c r="M112" s="64"/>
      <c r="N112" s="64"/>
      <c r="O112" s="5"/>
      <c r="P112" s="5"/>
      <c r="Q112" s="5"/>
      <c r="R112" s="5"/>
      <c r="S112" s="5"/>
      <c r="T112" s="5"/>
      <c r="U112" s="5"/>
      <c r="V112" s="5"/>
      <c r="W112" s="39"/>
      <c r="X112" s="39"/>
      <c r="Y112" s="39"/>
      <c r="Z112" s="39"/>
      <c r="AA112" s="39"/>
    </row>
    <row r="113" spans="1:27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64"/>
      <c r="K113" s="64"/>
      <c r="L113" s="64"/>
      <c r="M113" s="64"/>
      <c r="N113" s="64"/>
      <c r="O113" s="5"/>
      <c r="P113" s="5"/>
      <c r="Q113" s="5"/>
      <c r="R113" s="5"/>
      <c r="S113" s="5"/>
      <c r="T113" s="5"/>
      <c r="U113" s="5"/>
      <c r="V113" s="5"/>
      <c r="W113" s="39"/>
      <c r="X113" s="39"/>
      <c r="Y113" s="39"/>
      <c r="Z113" s="39"/>
      <c r="AA113" s="39"/>
    </row>
    <row r="114" spans="1:27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64"/>
      <c r="K114" s="64"/>
      <c r="L114" s="64"/>
      <c r="M114" s="64"/>
      <c r="N114" s="64"/>
      <c r="O114" s="5"/>
      <c r="P114" s="5"/>
      <c r="Q114" s="5"/>
      <c r="R114" s="5"/>
      <c r="S114" s="5"/>
      <c r="T114" s="5"/>
      <c r="U114" s="5"/>
      <c r="V114" s="5"/>
      <c r="W114" s="39"/>
      <c r="X114" s="39"/>
      <c r="Y114" s="39"/>
      <c r="Z114" s="39"/>
      <c r="AA114" s="39"/>
    </row>
    <row r="115" spans="1:27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64"/>
      <c r="K115" s="64"/>
      <c r="L115" s="64"/>
      <c r="M115" s="64"/>
      <c r="N115" s="64"/>
      <c r="O115" s="5"/>
      <c r="P115" s="5"/>
      <c r="Q115" s="5"/>
      <c r="R115" s="5"/>
      <c r="S115" s="5"/>
      <c r="T115" s="5"/>
      <c r="U115" s="5"/>
      <c r="V115" s="5"/>
      <c r="W115" s="39"/>
      <c r="X115" s="39"/>
      <c r="Y115" s="39"/>
      <c r="Z115" s="39"/>
      <c r="AA115" s="39"/>
    </row>
    <row r="116" spans="1:27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64"/>
      <c r="K116" s="64"/>
      <c r="L116" s="64"/>
      <c r="M116" s="64"/>
      <c r="N116" s="64"/>
      <c r="O116" s="5"/>
      <c r="P116" s="5"/>
      <c r="Q116" s="5"/>
      <c r="R116" s="5"/>
      <c r="S116" s="5"/>
      <c r="T116" s="5"/>
      <c r="U116" s="5"/>
      <c r="V116" s="5"/>
      <c r="W116" s="39"/>
      <c r="X116" s="39"/>
      <c r="Y116" s="39"/>
      <c r="Z116" s="39"/>
      <c r="AA116" s="39"/>
    </row>
    <row r="117" spans="1:27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64"/>
      <c r="K117" s="64"/>
      <c r="L117" s="64"/>
      <c r="M117" s="64"/>
      <c r="N117" s="64"/>
      <c r="O117" s="5"/>
      <c r="P117" s="5"/>
      <c r="Q117" s="5"/>
      <c r="R117" s="5"/>
      <c r="S117" s="5"/>
      <c r="T117" s="5"/>
      <c r="U117" s="5"/>
      <c r="V117" s="5"/>
      <c r="W117" s="39"/>
      <c r="X117" s="39"/>
      <c r="Y117" s="39"/>
      <c r="Z117" s="39"/>
      <c r="AA117" s="39"/>
    </row>
    <row r="118" spans="1:27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64"/>
      <c r="K118" s="64"/>
      <c r="L118" s="64"/>
      <c r="M118" s="64"/>
      <c r="N118" s="64"/>
      <c r="O118" s="5"/>
      <c r="P118" s="5"/>
      <c r="Q118" s="5"/>
      <c r="R118" s="5"/>
      <c r="S118" s="5"/>
      <c r="T118" s="5"/>
      <c r="U118" s="5"/>
      <c r="V118" s="5"/>
      <c r="W118" s="39"/>
      <c r="X118" s="39"/>
      <c r="Y118" s="39"/>
      <c r="Z118" s="39"/>
      <c r="AA118" s="39"/>
    </row>
    <row r="119" spans="1:27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64"/>
      <c r="K119" s="64"/>
      <c r="L119" s="64"/>
      <c r="M119" s="64"/>
      <c r="N119" s="64"/>
      <c r="O119" s="5"/>
      <c r="P119" s="5"/>
      <c r="Q119" s="5"/>
      <c r="R119" s="5"/>
      <c r="S119" s="5"/>
      <c r="T119" s="5"/>
      <c r="U119" s="5"/>
      <c r="V119" s="5"/>
      <c r="W119" s="39"/>
      <c r="X119" s="39"/>
      <c r="Y119" s="39"/>
      <c r="Z119" s="39"/>
      <c r="AA119" s="39"/>
    </row>
    <row r="120" spans="1:27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64"/>
      <c r="K120" s="64"/>
      <c r="L120" s="64"/>
      <c r="M120" s="64"/>
      <c r="N120" s="64"/>
      <c r="O120" s="5"/>
      <c r="P120" s="5"/>
      <c r="Q120" s="5"/>
      <c r="R120" s="5"/>
      <c r="S120" s="5"/>
      <c r="T120" s="5"/>
      <c r="U120" s="5"/>
      <c r="V120" s="5"/>
      <c r="W120" s="39"/>
      <c r="X120" s="39"/>
      <c r="Y120" s="39"/>
      <c r="Z120" s="39"/>
      <c r="AA120" s="39"/>
    </row>
    <row r="121" spans="1:27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64"/>
      <c r="K121" s="64"/>
      <c r="L121" s="64"/>
      <c r="M121" s="64"/>
      <c r="N121" s="64"/>
      <c r="O121" s="5"/>
      <c r="P121" s="5"/>
      <c r="Q121" s="5"/>
      <c r="R121" s="5"/>
      <c r="S121" s="5"/>
      <c r="T121" s="5"/>
      <c r="U121" s="5"/>
      <c r="V121" s="5"/>
      <c r="W121" s="39"/>
      <c r="X121" s="39"/>
      <c r="Y121" s="39"/>
      <c r="Z121" s="39"/>
      <c r="AA121" s="39"/>
    </row>
    <row r="122" spans="1:27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64"/>
      <c r="K122" s="64"/>
      <c r="L122" s="64"/>
      <c r="M122" s="64"/>
      <c r="N122" s="64"/>
      <c r="O122" s="5"/>
      <c r="P122" s="5"/>
      <c r="Q122" s="5"/>
      <c r="R122" s="5"/>
      <c r="S122" s="5"/>
      <c r="T122" s="5"/>
      <c r="U122" s="5"/>
      <c r="V122" s="5"/>
      <c r="W122" s="39"/>
      <c r="X122" s="39"/>
      <c r="Y122" s="39"/>
      <c r="Z122" s="39"/>
      <c r="AA122" s="39"/>
    </row>
    <row r="123" spans="1:27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64"/>
      <c r="K123" s="64"/>
      <c r="L123" s="64"/>
      <c r="M123" s="64"/>
      <c r="N123" s="64"/>
      <c r="O123" s="5"/>
      <c r="P123" s="5"/>
      <c r="Q123" s="5"/>
      <c r="R123" s="5"/>
      <c r="S123" s="5"/>
      <c r="T123" s="5"/>
      <c r="U123" s="5"/>
      <c r="V123" s="5"/>
      <c r="W123" s="39"/>
      <c r="X123" s="39"/>
      <c r="Y123" s="39"/>
      <c r="Z123" s="39"/>
      <c r="AA123" s="39"/>
    </row>
    <row r="124" spans="1:27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64"/>
      <c r="K124" s="64"/>
      <c r="L124" s="64"/>
      <c r="M124" s="64"/>
      <c r="N124" s="64"/>
      <c r="O124" s="5"/>
      <c r="P124" s="5"/>
      <c r="Q124" s="5"/>
      <c r="R124" s="5"/>
      <c r="S124" s="5"/>
      <c r="T124" s="5"/>
      <c r="U124" s="5"/>
      <c r="V124" s="5"/>
      <c r="W124" s="39"/>
      <c r="X124" s="39"/>
      <c r="Y124" s="39"/>
      <c r="Z124" s="39"/>
      <c r="AA124" s="39"/>
    </row>
    <row r="125" spans="1:27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64"/>
      <c r="K125" s="64"/>
      <c r="L125" s="64"/>
      <c r="M125" s="64"/>
      <c r="N125" s="64"/>
      <c r="O125" s="5"/>
      <c r="P125" s="5"/>
      <c r="Q125" s="5"/>
      <c r="R125" s="5"/>
      <c r="S125" s="5"/>
      <c r="T125" s="5"/>
      <c r="U125" s="5"/>
      <c r="V125" s="5"/>
      <c r="W125" s="39"/>
      <c r="X125" s="39"/>
      <c r="Y125" s="39"/>
      <c r="Z125" s="39"/>
      <c r="AA125" s="39"/>
    </row>
    <row r="126" spans="1:27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64"/>
      <c r="K126" s="64"/>
      <c r="L126" s="64"/>
      <c r="M126" s="64"/>
      <c r="N126" s="64"/>
      <c r="O126" s="5"/>
      <c r="P126" s="5"/>
      <c r="Q126" s="5"/>
      <c r="R126" s="5"/>
      <c r="S126" s="5"/>
      <c r="T126" s="5"/>
      <c r="U126" s="5"/>
      <c r="V126" s="5"/>
      <c r="W126" s="39"/>
      <c r="X126" s="39"/>
      <c r="Y126" s="39"/>
      <c r="Z126" s="39"/>
      <c r="AA126" s="39"/>
    </row>
    <row r="127" spans="1:27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64"/>
      <c r="K127" s="64"/>
      <c r="L127" s="64"/>
      <c r="M127" s="64"/>
      <c r="N127" s="64"/>
      <c r="O127" s="5"/>
      <c r="P127" s="5"/>
      <c r="Q127" s="5"/>
      <c r="R127" s="5"/>
      <c r="S127" s="5"/>
      <c r="T127" s="5"/>
      <c r="U127" s="5"/>
      <c r="V127" s="5"/>
      <c r="W127" s="39"/>
      <c r="X127" s="39"/>
      <c r="Y127" s="39"/>
      <c r="Z127" s="39"/>
      <c r="AA127" s="39"/>
    </row>
    <row r="128" spans="1:27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64"/>
      <c r="K128" s="64"/>
      <c r="L128" s="64"/>
      <c r="M128" s="64"/>
      <c r="N128" s="64"/>
      <c r="O128" s="5"/>
      <c r="P128" s="5"/>
      <c r="Q128" s="5"/>
      <c r="R128" s="5"/>
      <c r="S128" s="5"/>
      <c r="T128" s="5"/>
      <c r="U128" s="5"/>
      <c r="V128" s="5"/>
      <c r="W128" s="39"/>
      <c r="X128" s="39"/>
      <c r="Y128" s="39"/>
      <c r="Z128" s="39"/>
      <c r="AA128" s="39"/>
    </row>
    <row r="129" spans="1:27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64"/>
      <c r="K129" s="64"/>
      <c r="L129" s="64"/>
      <c r="M129" s="64"/>
      <c r="N129" s="64"/>
      <c r="O129" s="5"/>
      <c r="P129" s="5"/>
      <c r="Q129" s="5"/>
      <c r="R129" s="5"/>
      <c r="S129" s="5"/>
      <c r="T129" s="5"/>
      <c r="U129" s="5"/>
      <c r="V129" s="5"/>
      <c r="W129" s="39"/>
      <c r="X129" s="39"/>
      <c r="Y129" s="39"/>
      <c r="Z129" s="39"/>
      <c r="AA129" s="39"/>
    </row>
    <row r="130" spans="1:27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64"/>
      <c r="K130" s="64"/>
      <c r="L130" s="64"/>
      <c r="M130" s="64"/>
      <c r="N130" s="64"/>
      <c r="O130" s="5"/>
      <c r="P130" s="5"/>
      <c r="Q130" s="5"/>
      <c r="R130" s="5"/>
      <c r="S130" s="5"/>
      <c r="T130" s="5"/>
      <c r="U130" s="5"/>
      <c r="V130" s="5"/>
      <c r="W130" s="39"/>
      <c r="X130" s="39"/>
      <c r="Y130" s="39"/>
      <c r="Z130" s="39"/>
      <c r="AA130" s="39"/>
    </row>
    <row r="131" spans="1:27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64"/>
      <c r="K131" s="64"/>
      <c r="L131" s="64"/>
      <c r="M131" s="64"/>
      <c r="N131" s="64"/>
      <c r="O131" s="5"/>
      <c r="P131" s="5"/>
      <c r="Q131" s="5"/>
      <c r="R131" s="5"/>
      <c r="S131" s="5"/>
      <c r="T131" s="5"/>
      <c r="U131" s="5"/>
      <c r="V131" s="5"/>
      <c r="W131" s="39"/>
      <c r="X131" s="39"/>
      <c r="Y131" s="39"/>
      <c r="Z131" s="39"/>
      <c r="AA131" s="39"/>
    </row>
    <row r="132" spans="1:27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64"/>
      <c r="K132" s="64"/>
      <c r="L132" s="64"/>
      <c r="M132" s="64"/>
      <c r="N132" s="64"/>
      <c r="O132" s="5"/>
      <c r="P132" s="5"/>
      <c r="Q132" s="5"/>
      <c r="R132" s="5"/>
      <c r="S132" s="5"/>
      <c r="T132" s="5"/>
      <c r="U132" s="5"/>
      <c r="V132" s="5"/>
      <c r="W132" s="39"/>
      <c r="X132" s="39"/>
      <c r="Y132" s="39"/>
      <c r="Z132" s="39"/>
      <c r="AA132" s="39"/>
    </row>
    <row r="133" spans="1:27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64"/>
      <c r="K133" s="64"/>
      <c r="L133" s="64"/>
      <c r="M133" s="64"/>
      <c r="N133" s="64"/>
      <c r="O133" s="5"/>
      <c r="P133" s="5"/>
      <c r="Q133" s="5"/>
      <c r="R133" s="5"/>
      <c r="S133" s="5"/>
      <c r="T133" s="5"/>
      <c r="U133" s="5"/>
      <c r="V133" s="5"/>
      <c r="W133" s="39"/>
      <c r="X133" s="39"/>
      <c r="Y133" s="39"/>
      <c r="Z133" s="39"/>
      <c r="AA133" s="39"/>
    </row>
    <row r="134" spans="1:27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64"/>
      <c r="K134" s="64"/>
      <c r="L134" s="64"/>
      <c r="M134" s="64"/>
      <c r="N134" s="64"/>
      <c r="O134" s="5"/>
      <c r="P134" s="5"/>
      <c r="Q134" s="5"/>
      <c r="R134" s="5"/>
      <c r="S134" s="5"/>
      <c r="T134" s="5"/>
      <c r="U134" s="5"/>
      <c r="V134" s="5"/>
      <c r="W134" s="39"/>
      <c r="X134" s="39"/>
      <c r="Y134" s="39"/>
      <c r="Z134" s="39"/>
      <c r="AA134" s="39"/>
    </row>
    <row r="135" spans="1:27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64"/>
      <c r="K135" s="64"/>
      <c r="L135" s="64"/>
      <c r="M135" s="64"/>
      <c r="N135" s="64"/>
      <c r="O135" s="5"/>
      <c r="P135" s="5"/>
      <c r="Q135" s="5"/>
      <c r="R135" s="5"/>
      <c r="S135" s="5"/>
      <c r="T135" s="5"/>
      <c r="U135" s="5"/>
      <c r="V135" s="5"/>
      <c r="W135" s="39"/>
      <c r="X135" s="39"/>
      <c r="Y135" s="39"/>
      <c r="Z135" s="39"/>
      <c r="AA135" s="39"/>
    </row>
    <row r="136" spans="1:27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64"/>
      <c r="K136" s="64"/>
      <c r="L136" s="64"/>
      <c r="M136" s="64"/>
      <c r="N136" s="64"/>
      <c r="O136" s="5"/>
      <c r="P136" s="5"/>
      <c r="Q136" s="5"/>
      <c r="R136" s="5"/>
      <c r="S136" s="5"/>
      <c r="T136" s="5"/>
      <c r="U136" s="5"/>
      <c r="V136" s="5"/>
      <c r="W136" s="39"/>
      <c r="X136" s="39"/>
      <c r="Y136" s="39"/>
      <c r="Z136" s="39"/>
      <c r="AA136" s="39"/>
    </row>
    <row r="137" spans="1:27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64"/>
      <c r="K137" s="64"/>
      <c r="L137" s="64"/>
      <c r="M137" s="64"/>
      <c r="N137" s="64"/>
      <c r="O137" s="5"/>
      <c r="P137" s="5"/>
      <c r="Q137" s="5"/>
      <c r="R137" s="5"/>
      <c r="S137" s="5"/>
      <c r="T137" s="5"/>
      <c r="U137" s="5"/>
      <c r="V137" s="5"/>
      <c r="W137" s="39"/>
      <c r="X137" s="39"/>
      <c r="Y137" s="39"/>
      <c r="Z137" s="39"/>
      <c r="AA137" s="39"/>
    </row>
    <row r="138" spans="1:27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64"/>
      <c r="K138" s="64"/>
      <c r="L138" s="64"/>
      <c r="M138" s="64"/>
      <c r="N138" s="64"/>
      <c r="O138" s="5"/>
      <c r="P138" s="5"/>
      <c r="Q138" s="5"/>
      <c r="R138" s="5"/>
      <c r="S138" s="5"/>
      <c r="T138" s="5"/>
      <c r="U138" s="5"/>
      <c r="V138" s="5"/>
      <c r="W138" s="39"/>
      <c r="X138" s="39"/>
      <c r="Y138" s="39"/>
      <c r="Z138" s="39"/>
      <c r="AA138" s="39"/>
    </row>
    <row r="139" spans="1:27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64"/>
      <c r="K139" s="64"/>
      <c r="L139" s="64"/>
      <c r="M139" s="64"/>
      <c r="N139" s="64"/>
      <c r="O139" s="5"/>
      <c r="P139" s="5"/>
      <c r="Q139" s="5"/>
      <c r="R139" s="5"/>
      <c r="S139" s="5"/>
      <c r="T139" s="5"/>
      <c r="U139" s="5"/>
      <c r="V139" s="5"/>
      <c r="W139" s="39"/>
      <c r="X139" s="39"/>
      <c r="Y139" s="39"/>
      <c r="Z139" s="39"/>
      <c r="AA139" s="39"/>
    </row>
    <row r="140" spans="1:27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64"/>
      <c r="K140" s="64"/>
      <c r="L140" s="64"/>
      <c r="M140" s="64"/>
      <c r="N140" s="64"/>
      <c r="O140" s="5"/>
      <c r="P140" s="5"/>
      <c r="Q140" s="5"/>
      <c r="R140" s="5"/>
      <c r="S140" s="5"/>
      <c r="T140" s="5"/>
      <c r="U140" s="5"/>
      <c r="V140" s="5"/>
      <c r="W140" s="39"/>
      <c r="X140" s="39"/>
      <c r="Y140" s="39"/>
      <c r="Z140" s="39"/>
      <c r="AA140" s="39"/>
    </row>
    <row r="141" spans="1:27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64"/>
      <c r="K141" s="64"/>
      <c r="L141" s="64"/>
      <c r="M141" s="64"/>
      <c r="N141" s="64"/>
      <c r="O141" s="5"/>
      <c r="P141" s="5"/>
      <c r="Q141" s="5"/>
      <c r="R141" s="5"/>
      <c r="S141" s="5"/>
      <c r="T141" s="5"/>
      <c r="U141" s="5"/>
      <c r="V141" s="5"/>
      <c r="W141" s="39"/>
      <c r="X141" s="39"/>
      <c r="Y141" s="39"/>
      <c r="Z141" s="39"/>
      <c r="AA141" s="39"/>
    </row>
    <row r="142" spans="1:27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64"/>
      <c r="K142" s="64"/>
      <c r="L142" s="64"/>
      <c r="M142" s="64"/>
      <c r="N142" s="64"/>
      <c r="O142" s="5"/>
      <c r="P142" s="5"/>
      <c r="Q142" s="5"/>
      <c r="R142" s="5"/>
      <c r="S142" s="5"/>
      <c r="T142" s="5"/>
      <c r="U142" s="5"/>
      <c r="V142" s="5"/>
      <c r="W142" s="39"/>
      <c r="X142" s="39"/>
      <c r="Y142" s="39"/>
      <c r="Z142" s="39"/>
      <c r="AA142" s="39"/>
    </row>
    <row r="143" spans="1:27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64"/>
      <c r="K143" s="64"/>
      <c r="L143" s="64"/>
      <c r="M143" s="64"/>
      <c r="N143" s="64"/>
      <c r="O143" s="5"/>
      <c r="P143" s="5"/>
      <c r="Q143" s="5"/>
      <c r="R143" s="5"/>
      <c r="S143" s="5"/>
      <c r="T143" s="5"/>
      <c r="U143" s="5"/>
      <c r="V143" s="5"/>
      <c r="W143" s="39"/>
      <c r="X143" s="39"/>
      <c r="Y143" s="39"/>
      <c r="Z143" s="39"/>
      <c r="AA143" s="39"/>
    </row>
    <row r="144" spans="1:27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64"/>
      <c r="K144" s="64"/>
      <c r="L144" s="64"/>
      <c r="M144" s="64"/>
      <c r="N144" s="64"/>
      <c r="O144" s="5"/>
      <c r="P144" s="5"/>
      <c r="Q144" s="5"/>
      <c r="R144" s="5"/>
      <c r="S144" s="5"/>
      <c r="T144" s="5"/>
      <c r="U144" s="5"/>
      <c r="V144" s="5"/>
      <c r="W144" s="39"/>
      <c r="X144" s="39"/>
      <c r="Y144" s="39"/>
      <c r="Z144" s="39"/>
      <c r="AA144" s="39"/>
    </row>
    <row r="145" spans="1:27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64"/>
      <c r="K145" s="64"/>
      <c r="L145" s="64"/>
      <c r="M145" s="64"/>
      <c r="N145" s="64"/>
      <c r="O145" s="5"/>
      <c r="P145" s="5"/>
      <c r="Q145" s="5"/>
      <c r="R145" s="5"/>
      <c r="S145" s="5"/>
      <c r="T145" s="5"/>
      <c r="U145" s="5"/>
      <c r="V145" s="5"/>
      <c r="W145" s="39"/>
      <c r="X145" s="39"/>
      <c r="Y145" s="39"/>
      <c r="Z145" s="39"/>
      <c r="AA145" s="39"/>
    </row>
    <row r="146" spans="1:27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64"/>
      <c r="K146" s="64"/>
      <c r="L146" s="64"/>
      <c r="M146" s="64"/>
      <c r="N146" s="64"/>
      <c r="O146" s="5"/>
      <c r="P146" s="5"/>
      <c r="Q146" s="5"/>
      <c r="R146" s="5"/>
      <c r="S146" s="5"/>
      <c r="T146" s="5"/>
      <c r="U146" s="5"/>
      <c r="V146" s="5"/>
      <c r="W146" s="39"/>
      <c r="X146" s="39"/>
      <c r="Y146" s="39"/>
      <c r="Z146" s="39"/>
      <c r="AA146" s="39"/>
    </row>
    <row r="147" spans="1:27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64"/>
      <c r="K147" s="64"/>
      <c r="L147" s="64"/>
      <c r="M147" s="64"/>
      <c r="N147" s="64"/>
      <c r="O147" s="5"/>
      <c r="P147" s="5"/>
      <c r="Q147" s="5"/>
      <c r="R147" s="5"/>
      <c r="S147" s="5"/>
      <c r="T147" s="5"/>
      <c r="U147" s="5"/>
      <c r="V147" s="5"/>
      <c r="W147" s="39"/>
      <c r="X147" s="39"/>
      <c r="Y147" s="39"/>
      <c r="Z147" s="39"/>
      <c r="AA147" s="39"/>
    </row>
    <row r="148" spans="1:27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64"/>
      <c r="K148" s="64"/>
      <c r="L148" s="64"/>
      <c r="M148" s="64"/>
      <c r="N148" s="64"/>
      <c r="O148" s="5"/>
      <c r="P148" s="5"/>
      <c r="Q148" s="5"/>
      <c r="R148" s="5"/>
      <c r="S148" s="5"/>
      <c r="T148" s="5"/>
      <c r="U148" s="5"/>
      <c r="V148" s="5"/>
      <c r="W148" s="39"/>
      <c r="X148" s="39"/>
      <c r="Y148" s="39"/>
      <c r="Z148" s="39"/>
      <c r="AA148" s="39"/>
    </row>
    <row r="149" spans="1:27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64"/>
      <c r="K149" s="64"/>
      <c r="L149" s="64"/>
      <c r="M149" s="64"/>
      <c r="N149" s="64"/>
      <c r="O149" s="5"/>
      <c r="P149" s="5"/>
      <c r="Q149" s="5"/>
      <c r="R149" s="5"/>
      <c r="S149" s="5"/>
      <c r="T149" s="5"/>
      <c r="U149" s="5"/>
      <c r="V149" s="5"/>
      <c r="W149" s="39"/>
      <c r="X149" s="39"/>
      <c r="Y149" s="39"/>
      <c r="Z149" s="39"/>
      <c r="AA149" s="39"/>
    </row>
    <row r="150" spans="1:27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64"/>
      <c r="K150" s="64"/>
      <c r="L150" s="64"/>
      <c r="M150" s="64"/>
      <c r="N150" s="64"/>
      <c r="O150" s="5"/>
      <c r="P150" s="5"/>
      <c r="Q150" s="5"/>
      <c r="R150" s="5"/>
      <c r="S150" s="5"/>
      <c r="T150" s="5"/>
      <c r="U150" s="5"/>
      <c r="V150" s="5"/>
      <c r="W150" s="39"/>
      <c r="X150" s="39"/>
      <c r="Y150" s="39"/>
      <c r="Z150" s="39"/>
      <c r="AA150" s="39"/>
    </row>
    <row r="151" spans="1:27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64"/>
      <c r="K151" s="64"/>
      <c r="L151" s="64"/>
      <c r="M151" s="64"/>
      <c r="N151" s="64"/>
      <c r="O151" s="5"/>
      <c r="P151" s="5"/>
      <c r="Q151" s="5"/>
      <c r="R151" s="5"/>
      <c r="S151" s="5"/>
      <c r="T151" s="5"/>
      <c r="U151" s="5"/>
      <c r="V151" s="5"/>
      <c r="W151" s="39"/>
      <c r="X151" s="39"/>
      <c r="Y151" s="39"/>
      <c r="Z151" s="39"/>
      <c r="AA151" s="39"/>
    </row>
    <row r="152" spans="1:27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64"/>
      <c r="K152" s="64"/>
      <c r="L152" s="64"/>
      <c r="M152" s="64"/>
      <c r="N152" s="64"/>
      <c r="O152" s="5"/>
      <c r="P152" s="5"/>
      <c r="Q152" s="5"/>
      <c r="R152" s="5"/>
      <c r="S152" s="5"/>
      <c r="T152" s="5"/>
      <c r="U152" s="5"/>
      <c r="V152" s="5"/>
      <c r="W152" s="39"/>
      <c r="X152" s="39"/>
      <c r="Y152" s="39"/>
      <c r="Z152" s="39"/>
      <c r="AA152" s="39"/>
    </row>
    <row r="153" spans="1:27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64"/>
      <c r="K153" s="64"/>
      <c r="L153" s="64"/>
      <c r="M153" s="64"/>
      <c r="N153" s="64"/>
      <c r="O153" s="5"/>
      <c r="P153" s="5"/>
      <c r="Q153" s="5"/>
      <c r="R153" s="5"/>
      <c r="S153" s="5"/>
      <c r="T153" s="5"/>
      <c r="U153" s="5"/>
      <c r="V153" s="5"/>
      <c r="W153" s="39"/>
      <c r="X153" s="39"/>
      <c r="Y153" s="39"/>
      <c r="Z153" s="39"/>
      <c r="AA153" s="39"/>
    </row>
    <row r="154" spans="1:27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64"/>
      <c r="K154" s="64"/>
      <c r="L154" s="64"/>
      <c r="M154" s="64"/>
      <c r="N154" s="64"/>
      <c r="O154" s="5"/>
      <c r="P154" s="5"/>
      <c r="Q154" s="5"/>
      <c r="R154" s="5"/>
      <c r="S154" s="5"/>
      <c r="T154" s="5"/>
      <c r="U154" s="5"/>
      <c r="V154" s="5"/>
      <c r="W154" s="39"/>
      <c r="X154" s="39"/>
      <c r="Y154" s="39"/>
      <c r="Z154" s="39"/>
      <c r="AA154" s="39"/>
    </row>
    <row r="155" spans="1:27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64"/>
      <c r="K155" s="64"/>
      <c r="L155" s="64"/>
      <c r="M155" s="64"/>
      <c r="N155" s="64"/>
      <c r="O155" s="5"/>
      <c r="P155" s="5"/>
      <c r="Q155" s="5"/>
      <c r="R155" s="5"/>
      <c r="S155" s="5"/>
      <c r="T155" s="5"/>
      <c r="U155" s="5"/>
      <c r="V155" s="5"/>
      <c r="W155" s="39"/>
      <c r="X155" s="39"/>
      <c r="Y155" s="39"/>
      <c r="Z155" s="39"/>
      <c r="AA155" s="39"/>
    </row>
    <row r="156" spans="1:27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64"/>
      <c r="K156" s="64"/>
      <c r="L156" s="64"/>
      <c r="M156" s="64"/>
      <c r="N156" s="64"/>
      <c r="O156" s="5"/>
      <c r="P156" s="5"/>
      <c r="Q156" s="5"/>
      <c r="R156" s="5"/>
      <c r="S156" s="5"/>
      <c r="T156" s="5"/>
      <c r="U156" s="5"/>
      <c r="V156" s="5"/>
      <c r="W156" s="39"/>
      <c r="X156" s="39"/>
      <c r="Y156" s="39"/>
      <c r="Z156" s="39"/>
      <c r="AA156" s="39"/>
    </row>
    <row r="157" spans="1:27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64"/>
      <c r="K157" s="64"/>
      <c r="L157" s="64"/>
      <c r="M157" s="64"/>
      <c r="N157" s="64"/>
      <c r="O157" s="5"/>
      <c r="P157" s="5"/>
      <c r="Q157" s="5"/>
      <c r="R157" s="5"/>
      <c r="S157" s="5"/>
      <c r="T157" s="5"/>
      <c r="U157" s="5"/>
      <c r="V157" s="5"/>
      <c r="W157" s="39"/>
      <c r="X157" s="39"/>
      <c r="Y157" s="39"/>
      <c r="Z157" s="39"/>
      <c r="AA157" s="39"/>
    </row>
    <row r="158" spans="1:27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64"/>
      <c r="K158" s="64"/>
      <c r="L158" s="64"/>
      <c r="M158" s="64"/>
      <c r="N158" s="64"/>
      <c r="O158" s="5"/>
      <c r="P158" s="5"/>
      <c r="Q158" s="5"/>
      <c r="R158" s="5"/>
      <c r="S158" s="5"/>
      <c r="T158" s="5"/>
      <c r="U158" s="5"/>
      <c r="V158" s="5"/>
      <c r="W158" s="39"/>
      <c r="X158" s="39"/>
      <c r="Y158" s="39"/>
      <c r="Z158" s="39"/>
      <c r="AA158" s="39"/>
    </row>
    <row r="159" spans="1:27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64"/>
      <c r="K159" s="64"/>
      <c r="L159" s="64"/>
      <c r="M159" s="64"/>
      <c r="N159" s="64"/>
      <c r="O159" s="5"/>
      <c r="P159" s="5"/>
      <c r="Q159" s="5"/>
      <c r="R159" s="5"/>
      <c r="S159" s="5"/>
      <c r="T159" s="5"/>
      <c r="U159" s="5"/>
      <c r="V159" s="5"/>
      <c r="W159" s="39"/>
      <c r="X159" s="39"/>
      <c r="Y159" s="39"/>
      <c r="Z159" s="39"/>
      <c r="AA159" s="39"/>
    </row>
    <row r="160" spans="1:27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64"/>
      <c r="K160" s="64"/>
      <c r="L160" s="64"/>
      <c r="M160" s="64"/>
      <c r="N160" s="64"/>
      <c r="O160" s="5"/>
      <c r="P160" s="5"/>
      <c r="Q160" s="5"/>
      <c r="R160" s="5"/>
      <c r="S160" s="5"/>
      <c r="T160" s="5"/>
      <c r="U160" s="5"/>
      <c r="V160" s="5"/>
      <c r="W160" s="39"/>
      <c r="X160" s="39"/>
      <c r="Y160" s="39"/>
      <c r="Z160" s="39"/>
      <c r="AA160" s="39"/>
    </row>
    <row r="161" spans="1:27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64"/>
      <c r="K161" s="64"/>
      <c r="L161" s="64"/>
      <c r="M161" s="64"/>
      <c r="N161" s="64"/>
      <c r="O161" s="5"/>
      <c r="P161" s="5"/>
      <c r="Q161" s="5"/>
      <c r="R161" s="5"/>
      <c r="S161" s="5"/>
      <c r="T161" s="5"/>
      <c r="U161" s="5"/>
      <c r="V161" s="5"/>
      <c r="W161" s="39"/>
      <c r="X161" s="39"/>
      <c r="Y161" s="39"/>
      <c r="Z161" s="39"/>
      <c r="AA161" s="39"/>
    </row>
    <row r="162" spans="1:27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64"/>
      <c r="K162" s="64"/>
      <c r="L162" s="64"/>
      <c r="M162" s="64"/>
      <c r="N162" s="64"/>
      <c r="O162" s="5"/>
      <c r="P162" s="5"/>
      <c r="Q162" s="5"/>
      <c r="R162" s="5"/>
      <c r="S162" s="5"/>
      <c r="T162" s="5"/>
      <c r="U162" s="5"/>
      <c r="V162" s="5"/>
      <c r="W162" s="39"/>
      <c r="X162" s="39"/>
      <c r="Y162" s="39"/>
      <c r="Z162" s="39"/>
      <c r="AA162" s="39"/>
    </row>
    <row r="163" spans="1:27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64"/>
      <c r="K163" s="64"/>
      <c r="L163" s="64"/>
      <c r="M163" s="64"/>
      <c r="N163" s="64"/>
      <c r="O163" s="5"/>
      <c r="P163" s="5"/>
      <c r="Q163" s="5"/>
      <c r="R163" s="5"/>
      <c r="S163" s="5"/>
      <c r="T163" s="5"/>
      <c r="U163" s="5"/>
      <c r="V163" s="5"/>
      <c r="W163" s="39"/>
      <c r="X163" s="39"/>
      <c r="Y163" s="39"/>
      <c r="Z163" s="39"/>
      <c r="AA163" s="39"/>
    </row>
    <row r="164" spans="1:27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64"/>
      <c r="K164" s="64"/>
      <c r="L164" s="64"/>
      <c r="M164" s="64"/>
      <c r="N164" s="64"/>
      <c r="O164" s="5"/>
      <c r="P164" s="5"/>
      <c r="Q164" s="5"/>
      <c r="R164" s="5"/>
      <c r="S164" s="5"/>
      <c r="T164" s="5"/>
      <c r="U164" s="5"/>
      <c r="V164" s="5"/>
      <c r="W164" s="39"/>
      <c r="X164" s="39"/>
      <c r="Y164" s="39"/>
      <c r="Z164" s="39"/>
      <c r="AA164" s="39"/>
    </row>
    <row r="165" spans="1:27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64"/>
      <c r="K165" s="64"/>
      <c r="L165" s="64"/>
      <c r="M165" s="64"/>
      <c r="N165" s="64"/>
      <c r="O165" s="5"/>
      <c r="P165" s="5"/>
      <c r="Q165" s="5"/>
      <c r="R165" s="5"/>
      <c r="S165" s="5"/>
      <c r="T165" s="5"/>
      <c r="U165" s="5"/>
      <c r="V165" s="5"/>
      <c r="W165" s="39"/>
      <c r="X165" s="39"/>
      <c r="Y165" s="39"/>
      <c r="Z165" s="39"/>
      <c r="AA165" s="39"/>
    </row>
    <row r="166" spans="1:27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64"/>
      <c r="K166" s="64"/>
      <c r="L166" s="64"/>
      <c r="M166" s="64"/>
      <c r="N166" s="64"/>
      <c r="O166" s="5"/>
      <c r="P166" s="5"/>
      <c r="Q166" s="5"/>
      <c r="R166" s="5"/>
      <c r="S166" s="5"/>
      <c r="T166" s="5"/>
      <c r="U166" s="5"/>
      <c r="V166" s="5"/>
      <c r="W166" s="39"/>
      <c r="X166" s="39"/>
      <c r="Y166" s="39"/>
      <c r="Z166" s="39"/>
      <c r="AA166" s="39"/>
    </row>
    <row r="167" spans="1:27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64"/>
      <c r="K167" s="64"/>
      <c r="L167" s="64"/>
      <c r="M167" s="64"/>
      <c r="N167" s="64"/>
      <c r="O167" s="5"/>
      <c r="P167" s="5"/>
      <c r="Q167" s="5"/>
      <c r="R167" s="5"/>
      <c r="S167" s="5"/>
      <c r="T167" s="5"/>
      <c r="U167" s="5"/>
      <c r="V167" s="5"/>
      <c r="W167" s="39"/>
      <c r="X167" s="39"/>
      <c r="Y167" s="39"/>
      <c r="Z167" s="39"/>
      <c r="AA167" s="39"/>
    </row>
    <row r="168" spans="1:27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64"/>
      <c r="K168" s="64"/>
      <c r="L168" s="64"/>
      <c r="M168" s="64"/>
      <c r="N168" s="64"/>
      <c r="O168" s="5"/>
      <c r="P168" s="5"/>
      <c r="Q168" s="5"/>
      <c r="R168" s="5"/>
      <c r="S168" s="5"/>
      <c r="T168" s="5"/>
      <c r="U168" s="5"/>
      <c r="V168" s="5"/>
      <c r="W168" s="39"/>
      <c r="X168" s="39"/>
      <c r="Y168" s="39"/>
      <c r="Z168" s="39"/>
      <c r="AA168" s="39"/>
    </row>
    <row r="169" spans="1:27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64"/>
      <c r="K169" s="64"/>
      <c r="L169" s="64"/>
      <c r="M169" s="64"/>
      <c r="N169" s="64"/>
      <c r="O169" s="5"/>
      <c r="P169" s="5"/>
      <c r="Q169" s="5"/>
      <c r="R169" s="5"/>
      <c r="S169" s="5"/>
      <c r="T169" s="5"/>
      <c r="U169" s="5"/>
      <c r="V169" s="5"/>
      <c r="W169" s="39"/>
      <c r="X169" s="39"/>
      <c r="Y169" s="39"/>
      <c r="Z169" s="39"/>
      <c r="AA169" s="39"/>
    </row>
    <row r="170" spans="1:27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64"/>
      <c r="K170" s="64"/>
      <c r="L170" s="64"/>
      <c r="M170" s="64"/>
      <c r="N170" s="64"/>
      <c r="O170" s="5"/>
      <c r="P170" s="5"/>
      <c r="Q170" s="5"/>
      <c r="R170" s="5"/>
      <c r="S170" s="5"/>
      <c r="T170" s="5"/>
      <c r="U170" s="5"/>
      <c r="V170" s="5"/>
      <c r="W170" s="39"/>
      <c r="X170" s="39"/>
      <c r="Y170" s="39"/>
      <c r="Z170" s="39"/>
      <c r="AA170" s="39"/>
    </row>
    <row r="171" spans="1:27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64"/>
      <c r="K171" s="64"/>
      <c r="L171" s="64"/>
      <c r="M171" s="64"/>
      <c r="N171" s="64"/>
      <c r="O171" s="5"/>
      <c r="P171" s="5"/>
      <c r="Q171" s="5"/>
      <c r="R171" s="5"/>
      <c r="S171" s="5"/>
      <c r="T171" s="5"/>
      <c r="U171" s="5"/>
      <c r="V171" s="5"/>
      <c r="W171" s="39"/>
      <c r="X171" s="39"/>
      <c r="Y171" s="39"/>
      <c r="Z171" s="39"/>
      <c r="AA171" s="39"/>
    </row>
    <row r="172" spans="1:27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64"/>
      <c r="K172" s="64"/>
      <c r="L172" s="64"/>
      <c r="M172" s="64"/>
      <c r="N172" s="64"/>
      <c r="O172" s="5"/>
      <c r="P172" s="5"/>
      <c r="Q172" s="5"/>
      <c r="R172" s="5"/>
      <c r="S172" s="5"/>
      <c r="T172" s="5"/>
      <c r="U172" s="5"/>
      <c r="V172" s="5"/>
      <c r="W172" s="39"/>
      <c r="X172" s="39"/>
      <c r="Y172" s="39"/>
      <c r="Z172" s="39"/>
      <c r="AA172" s="39"/>
    </row>
    <row r="173" spans="1:27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64"/>
      <c r="K173" s="64"/>
      <c r="L173" s="64"/>
      <c r="M173" s="64"/>
      <c r="N173" s="64"/>
      <c r="O173" s="5"/>
      <c r="P173" s="5"/>
      <c r="Q173" s="5"/>
      <c r="R173" s="5"/>
      <c r="S173" s="5"/>
      <c r="T173" s="5"/>
      <c r="U173" s="5"/>
      <c r="V173" s="5"/>
      <c r="W173" s="39"/>
      <c r="X173" s="39"/>
      <c r="Y173" s="39"/>
      <c r="Z173" s="39"/>
      <c r="AA173" s="39"/>
    </row>
    <row r="174" spans="1:27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64"/>
      <c r="K174" s="64"/>
      <c r="L174" s="64"/>
      <c r="M174" s="64"/>
      <c r="N174" s="64"/>
      <c r="O174" s="5"/>
      <c r="P174" s="5"/>
      <c r="Q174" s="5"/>
      <c r="R174" s="5"/>
      <c r="S174" s="5"/>
      <c r="T174" s="5"/>
      <c r="U174" s="5"/>
      <c r="V174" s="5"/>
      <c r="W174" s="39"/>
      <c r="X174" s="39"/>
      <c r="Y174" s="39"/>
      <c r="Z174" s="39"/>
      <c r="AA174" s="39"/>
    </row>
    <row r="175" spans="1:27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64"/>
      <c r="K175" s="64"/>
      <c r="L175" s="64"/>
      <c r="M175" s="64"/>
      <c r="N175" s="64"/>
      <c r="O175" s="5"/>
      <c r="P175" s="5"/>
      <c r="Q175" s="5"/>
      <c r="R175" s="5"/>
      <c r="S175" s="5"/>
      <c r="T175" s="5"/>
      <c r="U175" s="5"/>
      <c r="V175" s="5"/>
      <c r="W175" s="39"/>
      <c r="X175" s="39"/>
      <c r="Y175" s="39"/>
      <c r="Z175" s="39"/>
      <c r="AA175" s="39"/>
    </row>
    <row r="176" spans="1:27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64"/>
      <c r="K176" s="64"/>
      <c r="L176" s="64"/>
      <c r="M176" s="64"/>
      <c r="N176" s="64"/>
      <c r="O176" s="5"/>
      <c r="P176" s="5"/>
      <c r="Q176" s="5"/>
      <c r="R176" s="5"/>
      <c r="S176" s="5"/>
      <c r="T176" s="5"/>
      <c r="U176" s="5"/>
      <c r="V176" s="5"/>
      <c r="W176" s="39"/>
      <c r="X176" s="39"/>
      <c r="Y176" s="39"/>
      <c r="Z176" s="39"/>
      <c r="AA176" s="39"/>
    </row>
    <row r="177" spans="1:28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64"/>
      <c r="K177" s="64"/>
      <c r="L177" s="64"/>
      <c r="M177" s="64"/>
      <c r="N177" s="64"/>
      <c r="O177" s="5"/>
      <c r="P177" s="5"/>
      <c r="Q177" s="5"/>
      <c r="R177" s="5"/>
      <c r="S177" s="5"/>
      <c r="T177" s="5"/>
      <c r="U177" s="5"/>
      <c r="V177" s="5"/>
      <c r="W177" s="39"/>
      <c r="X177" s="39"/>
      <c r="Y177" s="39"/>
      <c r="Z177" s="39"/>
      <c r="AA177" s="39"/>
    </row>
    <row r="178" spans="1:28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64"/>
      <c r="K178" s="64"/>
      <c r="L178" s="64"/>
      <c r="M178" s="64"/>
      <c r="N178" s="64"/>
      <c r="O178" s="5"/>
      <c r="P178" s="5"/>
      <c r="Q178" s="5"/>
      <c r="R178" s="5"/>
      <c r="S178" s="5"/>
      <c r="T178" s="5"/>
      <c r="U178" s="5"/>
      <c r="V178" s="5"/>
      <c r="W178" s="39"/>
      <c r="X178" s="39"/>
      <c r="Y178" s="39"/>
      <c r="Z178" s="39"/>
      <c r="AA178" s="39"/>
    </row>
    <row r="179" spans="1:28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64"/>
      <c r="K179" s="64"/>
      <c r="L179" s="64"/>
      <c r="M179" s="64"/>
      <c r="N179" s="64"/>
      <c r="O179" s="5"/>
      <c r="P179" s="5"/>
      <c r="Q179" s="5"/>
      <c r="R179" s="5"/>
      <c r="S179" s="5"/>
      <c r="T179" s="5"/>
      <c r="U179" s="5"/>
      <c r="V179" s="5"/>
      <c r="W179" s="39"/>
      <c r="X179" s="39"/>
      <c r="Y179" s="39"/>
      <c r="Z179" s="39"/>
      <c r="AA179" s="39"/>
    </row>
    <row r="180" spans="1:28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64"/>
      <c r="K180" s="64"/>
      <c r="L180" s="64"/>
      <c r="M180" s="64"/>
      <c r="N180" s="64"/>
      <c r="O180" s="5"/>
      <c r="P180" s="5"/>
      <c r="Q180" s="5"/>
      <c r="R180" s="5"/>
      <c r="S180" s="5"/>
      <c r="T180" s="5"/>
      <c r="U180" s="5"/>
      <c r="V180" s="5"/>
      <c r="W180" s="39"/>
      <c r="X180" s="39"/>
      <c r="Y180" s="39"/>
      <c r="Z180" s="39"/>
      <c r="AA180" s="39"/>
    </row>
    <row r="181" spans="1:28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64"/>
      <c r="K181" s="64"/>
      <c r="L181" s="64"/>
      <c r="M181" s="64"/>
      <c r="N181" s="64"/>
      <c r="O181" s="5"/>
      <c r="P181" s="5"/>
      <c r="Q181" s="5"/>
      <c r="R181" s="5"/>
      <c r="S181" s="5"/>
      <c r="T181" s="5"/>
      <c r="U181" s="5"/>
      <c r="V181" s="5"/>
      <c r="W181" s="39"/>
      <c r="X181" s="39"/>
      <c r="Y181" s="39"/>
      <c r="Z181" s="39"/>
      <c r="AA181" s="39"/>
    </row>
    <row r="182" spans="1:28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64"/>
      <c r="K182" s="64"/>
      <c r="L182" s="64"/>
      <c r="M182" s="64"/>
      <c r="N182" s="64"/>
      <c r="O182" s="5"/>
      <c r="P182" s="5"/>
      <c r="Q182" s="5"/>
      <c r="R182" s="5"/>
      <c r="S182" s="5"/>
      <c r="T182" s="5"/>
      <c r="U182" s="5"/>
      <c r="V182" s="5"/>
      <c r="W182" s="39"/>
      <c r="X182" s="39"/>
      <c r="Y182" s="39"/>
      <c r="Z182" s="39"/>
      <c r="AA182" s="39"/>
    </row>
    <row r="183" spans="1:28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64"/>
      <c r="K183" s="64"/>
      <c r="L183" s="64"/>
      <c r="M183" s="64"/>
      <c r="N183" s="64"/>
      <c r="O183" s="5"/>
      <c r="P183" s="5"/>
      <c r="Q183" s="5"/>
      <c r="R183" s="5"/>
      <c r="S183" s="5"/>
      <c r="T183" s="5"/>
      <c r="U183" s="5"/>
      <c r="V183" s="5"/>
      <c r="W183" s="39"/>
      <c r="X183" s="39"/>
      <c r="Y183" s="39"/>
      <c r="Z183" s="39"/>
      <c r="AA183" s="39"/>
    </row>
    <row r="184" spans="1:28" x14ac:dyDescent="0.25">
      <c r="B184" s="10"/>
      <c r="C184" s="10"/>
      <c r="D184" s="10"/>
      <c r="E184" s="10"/>
      <c r="F184" s="10"/>
      <c r="G184" s="10"/>
      <c r="H184" s="10"/>
      <c r="I184" s="10"/>
      <c r="J184" s="66"/>
      <c r="K184" s="66"/>
      <c r="L184" s="66"/>
      <c r="M184" s="66"/>
      <c r="N184" s="66"/>
      <c r="O184" s="10"/>
      <c r="P184" s="10"/>
      <c r="Q184" s="10"/>
      <c r="R184" s="10"/>
      <c r="S184" s="10"/>
      <c r="T184" s="10"/>
      <c r="U184" s="10"/>
      <c r="V184" s="10"/>
    </row>
    <row r="185" spans="1:28" x14ac:dyDescent="0.25">
      <c r="B185" s="10"/>
      <c r="C185" s="10"/>
      <c r="D185" s="10"/>
      <c r="E185" s="10"/>
      <c r="F185" s="10"/>
      <c r="G185" s="10"/>
      <c r="H185" s="10"/>
      <c r="I185" s="10"/>
      <c r="J185" s="66"/>
      <c r="K185" s="66"/>
      <c r="L185" s="66"/>
      <c r="M185" s="66"/>
      <c r="N185" s="66"/>
      <c r="O185" s="10"/>
      <c r="P185" s="10"/>
      <c r="Q185" s="10"/>
      <c r="R185" s="10"/>
      <c r="S185" s="10"/>
      <c r="T185" s="10"/>
      <c r="U185" s="10"/>
      <c r="V185" s="10"/>
    </row>
    <row r="186" spans="1:28" x14ac:dyDescent="0.25">
      <c r="B186" s="10"/>
      <c r="C186" s="10"/>
      <c r="D186" s="10"/>
      <c r="E186" s="10"/>
      <c r="F186" s="10"/>
      <c r="G186" s="10"/>
      <c r="H186" s="10"/>
      <c r="I186" s="10"/>
      <c r="J186" s="66"/>
      <c r="K186" s="66"/>
      <c r="L186" s="66"/>
      <c r="M186" s="66"/>
      <c r="N186" s="66"/>
      <c r="O186" s="10"/>
      <c r="P186" s="10"/>
      <c r="Q186" s="10"/>
      <c r="R186" s="10"/>
      <c r="S186" s="10"/>
      <c r="T186" s="10"/>
      <c r="U186" s="10"/>
      <c r="V186" s="10"/>
    </row>
    <row r="187" spans="1:28" x14ac:dyDescent="0.25">
      <c r="B187" s="10"/>
      <c r="C187" s="10"/>
      <c r="D187" s="10"/>
      <c r="E187" s="10"/>
      <c r="F187" s="10"/>
      <c r="G187" s="10"/>
      <c r="H187" s="10"/>
      <c r="I187" s="10"/>
      <c r="J187" s="66"/>
      <c r="K187" s="66"/>
      <c r="L187" s="66"/>
      <c r="M187" s="66"/>
      <c r="N187" s="66"/>
      <c r="O187" s="10"/>
      <c r="P187" s="10"/>
      <c r="Q187" s="10"/>
      <c r="R187" s="10"/>
      <c r="S187" s="10"/>
      <c r="T187" s="10"/>
      <c r="U187" s="10"/>
      <c r="V187" s="10"/>
    </row>
    <row r="188" spans="1:28" x14ac:dyDescent="0.25">
      <c r="B188" s="10"/>
      <c r="C188" s="10"/>
      <c r="D188" s="10"/>
      <c r="E188" s="10"/>
      <c r="F188" s="10"/>
      <c r="G188" s="10"/>
      <c r="H188" s="10"/>
      <c r="I188" s="10"/>
      <c r="J188" s="66"/>
      <c r="K188" s="66"/>
      <c r="L188" s="66"/>
      <c r="M188" s="66"/>
      <c r="N188" s="66"/>
      <c r="O188" s="10"/>
      <c r="P188" s="10"/>
      <c r="Q188" s="10"/>
      <c r="R188" s="10"/>
      <c r="S188" s="10"/>
      <c r="T188" s="10"/>
      <c r="U188" s="10"/>
      <c r="V188" s="10"/>
    </row>
    <row r="189" spans="1:28" x14ac:dyDescent="0.25">
      <c r="B189" s="10"/>
      <c r="C189" s="10"/>
      <c r="D189" s="10"/>
      <c r="E189" s="10"/>
      <c r="F189" s="10"/>
      <c r="G189" s="10"/>
      <c r="H189" s="10"/>
      <c r="I189" s="10"/>
      <c r="J189" s="66"/>
      <c r="K189" s="66"/>
      <c r="L189" s="66"/>
      <c r="M189" s="66"/>
      <c r="N189" s="66"/>
      <c r="O189" s="10"/>
      <c r="P189" s="10"/>
      <c r="Q189" s="10"/>
      <c r="R189" s="10"/>
      <c r="S189" s="10"/>
      <c r="T189" s="10"/>
      <c r="U189" s="10"/>
      <c r="V189" s="10"/>
    </row>
    <row r="190" spans="1:28" x14ac:dyDescent="0.25">
      <c r="B190" s="10"/>
      <c r="C190" s="10"/>
      <c r="D190" s="10"/>
      <c r="E190" s="10"/>
      <c r="F190" s="10"/>
      <c r="G190" s="10"/>
      <c r="H190" s="10"/>
      <c r="I190" s="10"/>
      <c r="J190" s="66"/>
      <c r="K190" s="66"/>
      <c r="L190" s="66"/>
      <c r="M190" s="66"/>
      <c r="N190" s="66"/>
      <c r="O190" s="10"/>
      <c r="P190" s="10"/>
      <c r="Q190" s="10"/>
      <c r="R190" s="10"/>
      <c r="S190" s="10"/>
      <c r="T190" s="10"/>
      <c r="U190" s="10"/>
      <c r="V190" s="10"/>
    </row>
    <row r="191" spans="1:28" s="40" customFormat="1" x14ac:dyDescent="0.25">
      <c r="A191" s="1"/>
      <c r="B191" s="10"/>
      <c r="C191" s="10"/>
      <c r="D191" s="10"/>
      <c r="E191" s="10"/>
      <c r="F191" s="10"/>
      <c r="G191" s="10"/>
      <c r="H191" s="10"/>
      <c r="I191" s="10"/>
      <c r="J191" s="66"/>
      <c r="K191" s="66"/>
      <c r="L191" s="66"/>
      <c r="M191" s="66"/>
      <c r="N191" s="66"/>
      <c r="O191" s="10"/>
      <c r="P191" s="10"/>
      <c r="Q191" s="10"/>
      <c r="R191" s="10"/>
      <c r="S191" s="10"/>
      <c r="T191" s="10"/>
      <c r="U191" s="10"/>
      <c r="V191" s="10"/>
      <c r="AB191"/>
    </row>
    <row r="192" spans="1:28" s="40" customFormat="1" x14ac:dyDescent="0.25">
      <c r="A192" s="1"/>
      <c r="B192" s="10"/>
      <c r="C192" s="10"/>
      <c r="D192" s="10"/>
      <c r="E192" s="10"/>
      <c r="F192" s="10"/>
      <c r="G192" s="10"/>
      <c r="H192" s="10"/>
      <c r="I192" s="10"/>
      <c r="J192" s="66"/>
      <c r="K192" s="66"/>
      <c r="L192" s="66"/>
      <c r="M192" s="66"/>
      <c r="N192" s="66"/>
      <c r="O192" s="10"/>
      <c r="P192" s="10"/>
      <c r="Q192" s="10"/>
      <c r="R192" s="10"/>
      <c r="S192" s="10"/>
      <c r="T192" s="10"/>
      <c r="U192" s="10"/>
      <c r="V192" s="10"/>
      <c r="AB192"/>
    </row>
    <row r="193" spans="1:28" s="40" customFormat="1" x14ac:dyDescent="0.25">
      <c r="A193" s="1"/>
      <c r="B193" s="10"/>
      <c r="C193" s="10"/>
      <c r="D193" s="10"/>
      <c r="E193" s="10"/>
      <c r="F193" s="10"/>
      <c r="G193" s="10"/>
      <c r="H193" s="10"/>
      <c r="I193" s="10"/>
      <c r="J193" s="66"/>
      <c r="K193" s="66"/>
      <c r="L193" s="66"/>
      <c r="M193" s="66"/>
      <c r="N193" s="66"/>
      <c r="O193" s="10"/>
      <c r="P193" s="10"/>
      <c r="Q193" s="10"/>
      <c r="R193" s="10"/>
      <c r="S193" s="10"/>
      <c r="T193" s="10"/>
      <c r="U193" s="10"/>
      <c r="V193" s="10"/>
      <c r="AB193"/>
    </row>
    <row r="194" spans="1:28" s="40" customFormat="1" x14ac:dyDescent="0.25">
      <c r="A194" s="1"/>
      <c r="B194" s="10"/>
      <c r="C194" s="10"/>
      <c r="D194" s="10"/>
      <c r="E194" s="10"/>
      <c r="F194" s="10"/>
      <c r="G194" s="10"/>
      <c r="H194" s="10"/>
      <c r="I194" s="10"/>
      <c r="J194" s="66"/>
      <c r="K194" s="66"/>
      <c r="L194" s="66"/>
      <c r="M194" s="66"/>
      <c r="N194" s="66"/>
      <c r="O194" s="10"/>
      <c r="P194" s="10"/>
      <c r="Q194" s="10"/>
      <c r="R194" s="10"/>
      <c r="S194" s="10"/>
      <c r="T194" s="10"/>
      <c r="U194" s="10"/>
      <c r="V194" s="10"/>
      <c r="AB194"/>
    </row>
    <row r="195" spans="1:28" s="40" customFormat="1" x14ac:dyDescent="0.25">
      <c r="A195" s="1"/>
      <c r="B195" s="10"/>
      <c r="C195" s="10"/>
      <c r="D195" s="10"/>
      <c r="E195" s="10"/>
      <c r="F195" s="10"/>
      <c r="G195" s="10"/>
      <c r="H195" s="10"/>
      <c r="I195" s="10"/>
      <c r="J195" s="66"/>
      <c r="K195" s="66"/>
      <c r="L195" s="66"/>
      <c r="M195" s="66"/>
      <c r="N195" s="66"/>
      <c r="O195" s="10"/>
      <c r="P195" s="10"/>
      <c r="Q195" s="10"/>
      <c r="R195" s="10"/>
      <c r="S195" s="10"/>
      <c r="T195" s="10"/>
      <c r="U195" s="10"/>
      <c r="V195" s="10"/>
      <c r="AB195"/>
    </row>
    <row r="196" spans="1:28" s="40" customFormat="1" x14ac:dyDescent="0.25">
      <c r="A196" s="1"/>
      <c r="B196" s="10"/>
      <c r="C196" s="10"/>
      <c r="D196" s="10"/>
      <c r="E196" s="10"/>
      <c r="F196" s="10"/>
      <c r="G196" s="10"/>
      <c r="H196" s="10"/>
      <c r="I196" s="10"/>
      <c r="J196" s="66"/>
      <c r="K196" s="66"/>
      <c r="L196" s="66"/>
      <c r="M196" s="66"/>
      <c r="N196" s="66"/>
      <c r="O196" s="10"/>
      <c r="P196" s="10"/>
      <c r="Q196" s="10"/>
      <c r="R196" s="10"/>
      <c r="S196" s="10"/>
      <c r="T196" s="10"/>
      <c r="U196" s="10"/>
      <c r="V196" s="10"/>
      <c r="AB196"/>
    </row>
    <row r="197" spans="1:28" s="40" customFormat="1" x14ac:dyDescent="0.25">
      <c r="A197" s="1"/>
      <c r="B197" s="10"/>
      <c r="C197" s="10"/>
      <c r="D197" s="10"/>
      <c r="E197" s="10"/>
      <c r="F197" s="10"/>
      <c r="G197" s="10"/>
      <c r="H197" s="10"/>
      <c r="I197" s="10"/>
      <c r="J197" s="66"/>
      <c r="K197" s="66"/>
      <c r="L197" s="66"/>
      <c r="M197" s="66"/>
      <c r="N197" s="66"/>
      <c r="O197" s="10"/>
      <c r="P197" s="10"/>
      <c r="Q197" s="10"/>
      <c r="R197" s="10"/>
      <c r="S197" s="10"/>
      <c r="T197" s="10"/>
      <c r="U197" s="10"/>
      <c r="V197" s="10"/>
      <c r="AB197"/>
    </row>
    <row r="198" spans="1:28" s="40" customFormat="1" x14ac:dyDescent="0.25">
      <c r="A198" s="1"/>
      <c r="B198" s="10"/>
      <c r="C198" s="10"/>
      <c r="D198" s="10"/>
      <c r="E198" s="10"/>
      <c r="F198" s="10"/>
      <c r="G198" s="10"/>
      <c r="H198" s="10"/>
      <c r="I198" s="10"/>
      <c r="J198" s="66"/>
      <c r="K198" s="66"/>
      <c r="L198" s="66"/>
      <c r="M198" s="66"/>
      <c r="N198" s="66"/>
      <c r="O198" s="10"/>
      <c r="P198" s="10"/>
      <c r="Q198" s="10"/>
      <c r="R198" s="10"/>
      <c r="S198" s="10"/>
      <c r="T198" s="10"/>
      <c r="U198" s="10"/>
      <c r="V198" s="10"/>
      <c r="AB198"/>
    </row>
    <row r="199" spans="1:28" s="40" customFormat="1" x14ac:dyDescent="0.25">
      <c r="A199" s="1"/>
      <c r="B199" s="10"/>
      <c r="C199" s="10"/>
      <c r="D199" s="10"/>
      <c r="E199" s="10"/>
      <c r="F199" s="10"/>
      <c r="G199" s="10"/>
      <c r="H199" s="10"/>
      <c r="I199" s="10"/>
      <c r="J199" s="66"/>
      <c r="K199" s="66"/>
      <c r="L199" s="66"/>
      <c r="M199" s="66"/>
      <c r="N199" s="66"/>
      <c r="O199" s="10"/>
      <c r="P199" s="10"/>
      <c r="Q199" s="10"/>
      <c r="R199" s="10"/>
      <c r="S199" s="10"/>
      <c r="T199" s="10"/>
      <c r="U199" s="10"/>
      <c r="V199" s="10"/>
      <c r="AB199"/>
    </row>
    <row r="200" spans="1:28" s="40" customFormat="1" x14ac:dyDescent="0.25">
      <c r="A200" s="1"/>
      <c r="B200" s="10"/>
      <c r="C200" s="10"/>
      <c r="D200" s="10"/>
      <c r="E200" s="10"/>
      <c r="F200" s="10"/>
      <c r="G200" s="10"/>
      <c r="H200" s="10"/>
      <c r="I200" s="10"/>
      <c r="J200" s="66"/>
      <c r="K200" s="66"/>
      <c r="L200" s="66"/>
      <c r="M200" s="66"/>
      <c r="N200" s="66"/>
      <c r="O200" s="10"/>
      <c r="P200" s="10"/>
      <c r="Q200" s="10"/>
      <c r="R200" s="10"/>
      <c r="S200" s="10"/>
      <c r="T200" s="10"/>
      <c r="U200" s="10"/>
      <c r="V200" s="10"/>
      <c r="AB200"/>
    </row>
    <row r="201" spans="1:28" s="40" customFormat="1" x14ac:dyDescent="0.25">
      <c r="A201" s="1"/>
      <c r="B201" s="10"/>
      <c r="C201" s="10"/>
      <c r="D201" s="10"/>
      <c r="E201" s="10"/>
      <c r="F201" s="10"/>
      <c r="G201" s="10"/>
      <c r="H201" s="10"/>
      <c r="I201" s="10"/>
      <c r="J201" s="66"/>
      <c r="K201" s="66"/>
      <c r="L201" s="66"/>
      <c r="M201" s="66"/>
      <c r="N201" s="66"/>
      <c r="O201" s="10"/>
      <c r="P201" s="10"/>
      <c r="Q201" s="10"/>
      <c r="R201" s="10"/>
      <c r="S201" s="10"/>
      <c r="T201" s="10"/>
      <c r="U201" s="10"/>
      <c r="V201" s="10"/>
      <c r="AB201"/>
    </row>
    <row r="202" spans="1:28" s="40" customFormat="1" x14ac:dyDescent="0.25">
      <c r="A202" s="1"/>
      <c r="B202" s="10"/>
      <c r="C202" s="10"/>
      <c r="D202" s="10"/>
      <c r="E202" s="10"/>
      <c r="F202" s="10"/>
      <c r="G202" s="10"/>
      <c r="H202" s="10"/>
      <c r="I202" s="10"/>
      <c r="J202" s="66"/>
      <c r="K202" s="66"/>
      <c r="L202" s="66"/>
      <c r="M202" s="66"/>
      <c r="N202" s="66"/>
      <c r="O202" s="10"/>
      <c r="P202" s="10"/>
      <c r="Q202" s="10"/>
      <c r="R202" s="10"/>
      <c r="S202" s="10"/>
      <c r="T202" s="10"/>
      <c r="U202" s="10"/>
      <c r="V202" s="10"/>
      <c r="AB202"/>
    </row>
    <row r="203" spans="1:28" s="40" customFormat="1" x14ac:dyDescent="0.25">
      <c r="A203" s="1"/>
      <c r="B203" s="10"/>
      <c r="C203" s="10"/>
      <c r="D203" s="10"/>
      <c r="E203" s="10"/>
      <c r="F203" s="10"/>
      <c r="G203" s="10"/>
      <c r="H203" s="10"/>
      <c r="I203" s="10"/>
      <c r="J203" s="66"/>
      <c r="K203" s="66"/>
      <c r="L203" s="66"/>
      <c r="M203" s="66"/>
      <c r="N203" s="66"/>
      <c r="O203" s="10"/>
      <c r="P203" s="10"/>
      <c r="Q203" s="10"/>
      <c r="R203" s="10"/>
      <c r="S203" s="10"/>
      <c r="T203" s="10"/>
      <c r="U203" s="10"/>
      <c r="V203" s="10"/>
      <c r="AB203"/>
    </row>
    <row r="204" spans="1:28" s="40" customFormat="1" x14ac:dyDescent="0.25">
      <c r="A204" s="1"/>
      <c r="B204" s="10"/>
      <c r="C204" s="10"/>
      <c r="D204" s="10"/>
      <c r="E204" s="10"/>
      <c r="F204" s="10"/>
      <c r="G204" s="10"/>
      <c r="H204" s="10"/>
      <c r="I204" s="10"/>
      <c r="J204" s="66"/>
      <c r="K204" s="66"/>
      <c r="L204" s="66"/>
      <c r="M204" s="66"/>
      <c r="N204" s="66"/>
      <c r="O204" s="10"/>
      <c r="P204" s="10"/>
      <c r="Q204" s="10"/>
      <c r="R204" s="10"/>
      <c r="S204" s="10"/>
      <c r="T204" s="10"/>
      <c r="U204" s="10"/>
      <c r="V204" s="10"/>
      <c r="AB204"/>
    </row>
    <row r="205" spans="1:28" s="40" customFormat="1" x14ac:dyDescent="0.25">
      <c r="A205" s="1"/>
      <c r="B205" s="10"/>
      <c r="C205" s="10"/>
      <c r="D205" s="10"/>
      <c r="E205" s="10"/>
      <c r="F205" s="10"/>
      <c r="G205" s="10"/>
      <c r="H205" s="10"/>
      <c r="I205" s="10"/>
      <c r="J205" s="66"/>
      <c r="K205" s="66"/>
      <c r="L205" s="66"/>
      <c r="M205" s="66"/>
      <c r="N205" s="66"/>
      <c r="O205" s="10"/>
      <c r="P205" s="10"/>
      <c r="Q205" s="10"/>
      <c r="R205" s="10"/>
      <c r="S205" s="10"/>
      <c r="T205" s="10"/>
      <c r="U205" s="10"/>
      <c r="V205" s="10"/>
      <c r="AB205"/>
    </row>
    <row r="206" spans="1:28" s="40" customFormat="1" x14ac:dyDescent="0.25">
      <c r="A206" s="1"/>
      <c r="B206" s="10"/>
      <c r="C206" s="10"/>
      <c r="D206" s="10"/>
      <c r="E206" s="10"/>
      <c r="F206" s="10"/>
      <c r="G206" s="10"/>
      <c r="H206" s="10"/>
      <c r="I206" s="10"/>
      <c r="J206" s="66"/>
      <c r="K206" s="66"/>
      <c r="L206" s="66"/>
      <c r="M206" s="66"/>
      <c r="N206" s="66"/>
      <c r="O206" s="10"/>
      <c r="P206" s="10"/>
      <c r="Q206" s="10"/>
      <c r="R206" s="10"/>
      <c r="S206" s="10"/>
      <c r="T206" s="10"/>
      <c r="U206" s="10"/>
      <c r="V206" s="10"/>
      <c r="AB206"/>
    </row>
    <row r="207" spans="1:28" s="40" customFormat="1" x14ac:dyDescent="0.25">
      <c r="A207" s="1"/>
      <c r="B207" s="10"/>
      <c r="C207" s="10"/>
      <c r="D207" s="10"/>
      <c r="E207" s="10"/>
      <c r="F207" s="10"/>
      <c r="G207" s="10"/>
      <c r="H207" s="10"/>
      <c r="I207" s="10"/>
      <c r="J207" s="66"/>
      <c r="K207" s="66"/>
      <c r="L207" s="66"/>
      <c r="M207" s="66"/>
      <c r="N207" s="66"/>
      <c r="O207" s="10"/>
      <c r="P207" s="10"/>
      <c r="Q207" s="10"/>
      <c r="R207" s="10"/>
      <c r="S207" s="10"/>
      <c r="T207" s="10"/>
      <c r="U207" s="10"/>
      <c r="V207" s="10"/>
      <c r="AB207"/>
    </row>
    <row r="208" spans="1:28" s="40" customFormat="1" x14ac:dyDescent="0.25">
      <c r="A208" s="1"/>
      <c r="B208" s="10"/>
      <c r="C208" s="10"/>
      <c r="D208" s="10"/>
      <c r="E208" s="10"/>
      <c r="F208" s="10"/>
      <c r="G208" s="10"/>
      <c r="H208" s="10"/>
      <c r="I208" s="10"/>
      <c r="J208" s="66"/>
      <c r="K208" s="66"/>
      <c r="L208" s="66"/>
      <c r="M208" s="66"/>
      <c r="N208" s="66"/>
      <c r="O208" s="10"/>
      <c r="P208" s="10"/>
      <c r="Q208" s="10"/>
      <c r="R208" s="10"/>
      <c r="S208" s="10"/>
      <c r="T208" s="10"/>
      <c r="U208" s="10"/>
      <c r="V208" s="10"/>
      <c r="AB208"/>
    </row>
    <row r="209" spans="1:28" s="40" customFormat="1" x14ac:dyDescent="0.25">
      <c r="A209" s="1"/>
      <c r="B209" s="10"/>
      <c r="C209" s="10"/>
      <c r="D209" s="10"/>
      <c r="E209" s="10"/>
      <c r="F209" s="10"/>
      <c r="G209" s="10"/>
      <c r="H209" s="10"/>
      <c r="I209" s="10"/>
      <c r="J209" s="66"/>
      <c r="K209" s="66"/>
      <c r="L209" s="66"/>
      <c r="M209" s="66"/>
      <c r="N209" s="66"/>
      <c r="O209" s="10"/>
      <c r="P209" s="10"/>
      <c r="Q209" s="10"/>
      <c r="R209" s="10"/>
      <c r="S209" s="10"/>
      <c r="T209" s="10"/>
      <c r="U209" s="10"/>
      <c r="V209" s="10"/>
      <c r="AB209"/>
    </row>
    <row r="210" spans="1:28" s="40" customFormat="1" x14ac:dyDescent="0.25">
      <c r="A210" s="1"/>
      <c r="B210" s="10"/>
      <c r="C210" s="10"/>
      <c r="D210" s="10"/>
      <c r="E210" s="10"/>
      <c r="F210" s="10"/>
      <c r="G210" s="10"/>
      <c r="H210" s="10"/>
      <c r="I210" s="10"/>
      <c r="J210" s="66"/>
      <c r="K210" s="66"/>
      <c r="L210" s="66"/>
      <c r="M210" s="66"/>
      <c r="N210" s="66"/>
      <c r="O210" s="10"/>
      <c r="P210" s="10"/>
      <c r="Q210" s="10"/>
      <c r="R210" s="10"/>
      <c r="S210" s="10"/>
      <c r="T210" s="10"/>
      <c r="U210" s="10"/>
      <c r="V210" s="10"/>
      <c r="AB210"/>
    </row>
    <row r="211" spans="1:28" s="40" customFormat="1" x14ac:dyDescent="0.25">
      <c r="A211" s="1"/>
      <c r="B211" s="10"/>
      <c r="C211" s="10"/>
      <c r="D211" s="10"/>
      <c r="E211" s="10"/>
      <c r="F211" s="10"/>
      <c r="G211" s="10"/>
      <c r="H211" s="10"/>
      <c r="I211" s="10"/>
      <c r="J211" s="66"/>
      <c r="K211" s="66"/>
      <c r="L211" s="66"/>
      <c r="M211" s="66"/>
      <c r="N211" s="66"/>
      <c r="O211" s="10"/>
      <c r="P211" s="10"/>
      <c r="Q211" s="10"/>
      <c r="R211" s="10"/>
      <c r="S211" s="10"/>
      <c r="T211" s="10"/>
      <c r="U211" s="10"/>
      <c r="V211" s="10"/>
      <c r="AB211"/>
    </row>
    <row r="212" spans="1:28" s="40" customFormat="1" x14ac:dyDescent="0.25">
      <c r="A212" s="1"/>
      <c r="B212" s="10"/>
      <c r="C212" s="10"/>
      <c r="D212" s="10"/>
      <c r="E212" s="10"/>
      <c r="F212" s="10"/>
      <c r="G212" s="10"/>
      <c r="H212" s="10"/>
      <c r="I212" s="10"/>
      <c r="J212" s="66"/>
      <c r="K212" s="66"/>
      <c r="L212" s="66"/>
      <c r="M212" s="66"/>
      <c r="N212" s="66"/>
      <c r="O212" s="10"/>
      <c r="P212" s="10"/>
      <c r="Q212" s="10"/>
      <c r="R212" s="10"/>
      <c r="S212" s="10"/>
      <c r="T212" s="10"/>
      <c r="U212" s="10"/>
      <c r="V212" s="10"/>
      <c r="AB212"/>
    </row>
    <row r="213" spans="1:28" s="40" customFormat="1" x14ac:dyDescent="0.25">
      <c r="A213" s="1"/>
      <c r="B213" s="10"/>
      <c r="C213" s="10"/>
      <c r="D213" s="10"/>
      <c r="E213" s="10"/>
      <c r="F213" s="10"/>
      <c r="G213" s="10"/>
      <c r="H213" s="10"/>
      <c r="I213" s="10"/>
      <c r="J213" s="66"/>
      <c r="K213" s="66"/>
      <c r="L213" s="66"/>
      <c r="M213" s="66"/>
      <c r="N213" s="66"/>
      <c r="O213" s="10"/>
      <c r="P213" s="10"/>
      <c r="Q213" s="10"/>
      <c r="R213" s="10"/>
      <c r="S213" s="10"/>
      <c r="T213" s="10"/>
      <c r="U213" s="10"/>
      <c r="V213" s="10"/>
      <c r="AB213"/>
    </row>
    <row r="214" spans="1:28" s="40" customFormat="1" x14ac:dyDescent="0.25">
      <c r="A214" s="1"/>
      <c r="B214" s="10"/>
      <c r="C214" s="10"/>
      <c r="D214" s="10"/>
      <c r="E214" s="10"/>
      <c r="F214" s="10"/>
      <c r="G214" s="10"/>
      <c r="H214" s="10"/>
      <c r="I214" s="10"/>
      <c r="J214" s="66"/>
      <c r="K214" s="66"/>
      <c r="L214" s="66"/>
      <c r="M214" s="66"/>
      <c r="N214" s="66"/>
      <c r="O214" s="10"/>
      <c r="P214" s="10"/>
      <c r="Q214" s="10"/>
      <c r="R214" s="10"/>
      <c r="S214" s="10"/>
      <c r="T214" s="10"/>
      <c r="U214" s="10"/>
      <c r="V214" s="10"/>
      <c r="AB214"/>
    </row>
    <row r="215" spans="1:28" s="40" customFormat="1" x14ac:dyDescent="0.25">
      <c r="A215" s="1"/>
      <c r="B215" s="10"/>
      <c r="C215" s="10"/>
      <c r="D215" s="10"/>
      <c r="E215" s="10"/>
      <c r="F215" s="10"/>
      <c r="G215" s="10"/>
      <c r="H215" s="10"/>
      <c r="I215" s="10"/>
      <c r="J215" s="66"/>
      <c r="K215" s="66"/>
      <c r="L215" s="66"/>
      <c r="M215" s="66"/>
      <c r="N215" s="66"/>
      <c r="O215" s="10"/>
      <c r="P215" s="10"/>
      <c r="Q215" s="10"/>
      <c r="R215" s="10"/>
      <c r="S215" s="10"/>
      <c r="T215" s="10"/>
      <c r="U215" s="10"/>
      <c r="V215" s="10"/>
      <c r="AB215"/>
    </row>
    <row r="216" spans="1:28" s="40" customFormat="1" x14ac:dyDescent="0.25">
      <c r="A216" s="1"/>
      <c r="B216" s="10"/>
      <c r="C216" s="10"/>
      <c r="D216" s="10"/>
      <c r="E216" s="10"/>
      <c r="F216" s="10"/>
      <c r="G216" s="10"/>
      <c r="H216" s="10"/>
      <c r="I216" s="10"/>
      <c r="J216" s="66"/>
      <c r="K216" s="66"/>
      <c r="L216" s="66"/>
      <c r="M216" s="66"/>
      <c r="N216" s="66"/>
      <c r="O216" s="10"/>
      <c r="P216" s="10"/>
      <c r="Q216" s="10"/>
      <c r="R216" s="10"/>
      <c r="S216" s="10"/>
      <c r="T216" s="10"/>
      <c r="U216" s="10"/>
      <c r="V216" s="10"/>
      <c r="AB216"/>
    </row>
    <row r="217" spans="1:28" s="40" customFormat="1" x14ac:dyDescent="0.25">
      <c r="A217" s="1"/>
      <c r="B217" s="10"/>
      <c r="C217" s="10"/>
      <c r="D217" s="10"/>
      <c r="E217" s="10"/>
      <c r="F217" s="10"/>
      <c r="G217" s="10"/>
      <c r="H217" s="10"/>
      <c r="I217" s="10"/>
      <c r="J217" s="66"/>
      <c r="K217" s="66"/>
      <c r="L217" s="66"/>
      <c r="M217" s="66"/>
      <c r="N217" s="66"/>
      <c r="O217" s="10"/>
      <c r="P217" s="10"/>
      <c r="Q217" s="10"/>
      <c r="R217" s="10"/>
      <c r="S217" s="10"/>
      <c r="T217" s="10"/>
      <c r="U217" s="10"/>
      <c r="V217" s="10"/>
      <c r="AB217"/>
    </row>
    <row r="218" spans="1:28" s="40" customFormat="1" x14ac:dyDescent="0.25">
      <c r="A218" s="1"/>
      <c r="B218" s="10"/>
      <c r="C218" s="10"/>
      <c r="D218" s="10"/>
      <c r="E218" s="10"/>
      <c r="F218" s="10"/>
      <c r="G218" s="10"/>
      <c r="H218" s="10"/>
      <c r="I218" s="10"/>
      <c r="J218" s="66"/>
      <c r="K218" s="66"/>
      <c r="L218" s="66"/>
      <c r="M218" s="66"/>
      <c r="N218" s="66"/>
      <c r="O218" s="10"/>
      <c r="P218" s="10"/>
      <c r="Q218" s="10"/>
      <c r="R218" s="10"/>
      <c r="S218" s="10"/>
      <c r="T218" s="10"/>
      <c r="U218" s="10"/>
      <c r="V218" s="10"/>
      <c r="AB218"/>
    </row>
    <row r="219" spans="1:28" s="40" customFormat="1" x14ac:dyDescent="0.25">
      <c r="A219" s="1"/>
      <c r="B219" s="10"/>
      <c r="C219" s="10"/>
      <c r="D219" s="10"/>
      <c r="E219" s="10"/>
      <c r="F219" s="10"/>
      <c r="G219" s="10"/>
      <c r="H219" s="10"/>
      <c r="I219" s="10"/>
      <c r="J219" s="66"/>
      <c r="K219" s="66"/>
      <c r="L219" s="66"/>
      <c r="M219" s="66"/>
      <c r="N219" s="66"/>
      <c r="O219" s="10"/>
      <c r="P219" s="10"/>
      <c r="Q219" s="10"/>
      <c r="R219" s="10"/>
      <c r="S219" s="10"/>
      <c r="T219" s="10"/>
      <c r="U219" s="10"/>
      <c r="V219" s="10"/>
      <c r="AB219"/>
    </row>
    <row r="220" spans="1:28" s="40" customFormat="1" x14ac:dyDescent="0.25">
      <c r="A220" s="1"/>
      <c r="B220" s="10"/>
      <c r="C220" s="10"/>
      <c r="D220" s="10"/>
      <c r="E220" s="10"/>
      <c r="F220" s="10"/>
      <c r="G220" s="10"/>
      <c r="H220" s="10"/>
      <c r="I220" s="10"/>
      <c r="J220" s="66"/>
      <c r="K220" s="66"/>
      <c r="L220" s="66"/>
      <c r="M220" s="66"/>
      <c r="N220" s="66"/>
      <c r="O220" s="10"/>
      <c r="P220" s="10"/>
      <c r="Q220" s="10"/>
      <c r="R220" s="10"/>
      <c r="S220" s="10"/>
      <c r="T220" s="10"/>
      <c r="U220" s="10"/>
      <c r="V220" s="10"/>
      <c r="AB220"/>
    </row>
  </sheetData>
  <pageMargins left="0.511811024" right="0.511811024" top="0.78740157499999996" bottom="0.78740157499999996" header="0.31496062000000002" footer="0.31496062000000002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8"/>
  <sheetViews>
    <sheetView topLeftCell="I10" zoomScale="146" zoomScaleNormal="146" workbookViewId="0">
      <selection activeCell="L24" sqref="L24"/>
    </sheetView>
  </sheetViews>
  <sheetFormatPr defaultRowHeight="15" x14ac:dyDescent="0.25"/>
  <sheetData>
    <row r="3" spans="1:21" x14ac:dyDescent="0.25">
      <c r="A3" s="92" t="s">
        <v>394</v>
      </c>
    </row>
    <row r="5" spans="1:21" x14ac:dyDescent="0.25">
      <c r="A5" s="92" t="s">
        <v>395</v>
      </c>
    </row>
    <row r="12" spans="1:21" x14ac:dyDescent="0.25">
      <c r="N12" s="99"/>
      <c r="O12" s="99"/>
      <c r="P12" s="99"/>
      <c r="Q12" s="99"/>
      <c r="R12" s="99"/>
      <c r="S12" s="99"/>
      <c r="T12" s="99"/>
      <c r="U12" s="99"/>
    </row>
    <row r="13" spans="1:21" x14ac:dyDescent="0.25">
      <c r="N13" s="99"/>
      <c r="O13" s="99"/>
      <c r="P13" s="99"/>
      <c r="Q13" s="99"/>
      <c r="R13" s="99"/>
      <c r="S13" s="99"/>
      <c r="T13" s="99"/>
      <c r="U13" s="99"/>
    </row>
    <row r="14" spans="1:21" x14ac:dyDescent="0.25">
      <c r="N14" s="99"/>
      <c r="O14" s="99"/>
      <c r="P14" s="99"/>
      <c r="Q14" s="99"/>
      <c r="R14" s="99"/>
      <c r="S14" s="99"/>
      <c r="T14" s="99"/>
      <c r="U14" s="99"/>
    </row>
    <row r="15" spans="1:21" x14ac:dyDescent="0.25">
      <c r="N15" s="99"/>
      <c r="O15" s="99"/>
      <c r="P15" s="99"/>
      <c r="Q15" s="99"/>
      <c r="R15" s="99"/>
      <c r="S15" s="99"/>
      <c r="T15" s="99"/>
      <c r="U15" s="99"/>
    </row>
    <row r="16" spans="1:21" x14ac:dyDescent="0.25">
      <c r="N16" s="99"/>
      <c r="O16" s="99"/>
      <c r="P16" s="99"/>
      <c r="Q16" s="99"/>
      <c r="R16" s="99"/>
      <c r="S16" s="99"/>
      <c r="T16" s="99"/>
      <c r="U16" s="99"/>
    </row>
    <row r="17" spans="14:21" x14ac:dyDescent="0.25">
      <c r="N17" s="99"/>
      <c r="O17" s="99"/>
      <c r="P17" s="99"/>
      <c r="Q17" s="99"/>
      <c r="R17" s="99"/>
      <c r="S17" s="99"/>
      <c r="T17" s="99"/>
      <c r="U17" s="99"/>
    </row>
    <row r="18" spans="14:21" x14ac:dyDescent="0.25">
      <c r="N18" s="99"/>
      <c r="O18" s="99"/>
      <c r="P18" s="99"/>
      <c r="Q18" s="99"/>
      <c r="R18" s="99"/>
      <c r="S18" s="99"/>
      <c r="T18" s="99"/>
      <c r="U18" s="99"/>
    </row>
    <row r="19" spans="14:21" x14ac:dyDescent="0.25">
      <c r="N19" s="99"/>
      <c r="O19" s="99"/>
      <c r="P19" s="99"/>
      <c r="Q19" s="99"/>
      <c r="R19" s="99"/>
      <c r="S19" s="99"/>
      <c r="T19" s="99"/>
      <c r="U19" s="99"/>
    </row>
    <row r="20" spans="14:21" x14ac:dyDescent="0.25">
      <c r="N20" s="99"/>
      <c r="O20" s="99"/>
      <c r="P20" s="99"/>
      <c r="Q20" s="99"/>
      <c r="R20" s="99"/>
      <c r="S20" s="99"/>
      <c r="T20" s="99"/>
      <c r="U20" s="99"/>
    </row>
    <row r="21" spans="14:21" x14ac:dyDescent="0.25">
      <c r="N21" s="99"/>
      <c r="O21" s="99"/>
      <c r="P21" s="99"/>
      <c r="Q21" s="99"/>
      <c r="R21" s="99"/>
      <c r="S21" s="99"/>
      <c r="T21" s="99"/>
      <c r="U21" s="99"/>
    </row>
    <row r="22" spans="14:21" x14ac:dyDescent="0.25">
      <c r="N22" s="99"/>
      <c r="O22" s="99"/>
      <c r="P22" s="99"/>
      <c r="Q22" s="99"/>
      <c r="R22" s="99"/>
      <c r="S22" s="99"/>
      <c r="T22" s="99"/>
      <c r="U22" s="99"/>
    </row>
    <row r="23" spans="14:21" x14ac:dyDescent="0.25">
      <c r="N23" s="99"/>
      <c r="O23" s="99"/>
      <c r="P23" s="99"/>
      <c r="Q23" s="99"/>
      <c r="R23" s="99"/>
      <c r="S23" s="99"/>
      <c r="T23" s="99"/>
      <c r="U23" s="99"/>
    </row>
    <row r="24" spans="14:21" x14ac:dyDescent="0.25">
      <c r="N24" s="99"/>
      <c r="O24" s="99"/>
      <c r="P24" s="99"/>
      <c r="Q24" s="99"/>
      <c r="R24" s="99"/>
      <c r="S24" s="99"/>
      <c r="T24" s="99"/>
      <c r="U24" s="99"/>
    </row>
    <row r="25" spans="14:21" x14ac:dyDescent="0.25">
      <c r="N25" s="99"/>
      <c r="O25" s="99"/>
      <c r="P25" s="99"/>
      <c r="Q25" s="99"/>
      <c r="R25" s="99"/>
      <c r="S25" s="99"/>
      <c r="T25" s="99"/>
      <c r="U25" s="99"/>
    </row>
    <row r="26" spans="14:21" x14ac:dyDescent="0.25">
      <c r="N26" s="99"/>
      <c r="O26" s="99"/>
      <c r="P26" s="99"/>
      <c r="Q26" s="99"/>
      <c r="R26" s="99"/>
      <c r="S26" s="99"/>
      <c r="T26" s="99"/>
      <c r="U26" s="99"/>
    </row>
    <row r="27" spans="14:21" x14ac:dyDescent="0.25">
      <c r="N27" s="99"/>
      <c r="O27" s="99"/>
      <c r="P27" s="99"/>
      <c r="Q27" s="99"/>
      <c r="R27" s="99"/>
      <c r="S27" s="99"/>
      <c r="T27" s="99"/>
      <c r="U27" s="99"/>
    </row>
    <row r="28" spans="14:21" x14ac:dyDescent="0.25">
      <c r="N28" s="99"/>
      <c r="O28" s="99"/>
      <c r="P28" s="99"/>
      <c r="Q28" s="99"/>
      <c r="R28" s="99"/>
      <c r="S28" s="99"/>
      <c r="T28" s="99"/>
      <c r="U28" s="9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workbookViewId="0">
      <selection sqref="A1:XFD1048576"/>
    </sheetView>
  </sheetViews>
  <sheetFormatPr defaultRowHeight="15" x14ac:dyDescent="0.25"/>
  <cols>
    <col min="3" max="3" width="66.85546875" bestFit="1" customWidth="1"/>
    <col min="4" max="4" width="15.28515625" bestFit="1" customWidth="1"/>
    <col min="5" max="5" width="13.5703125" customWidth="1"/>
    <col min="8" max="8" width="22.140625" bestFit="1" customWidth="1"/>
  </cols>
  <sheetData>
    <row r="1" spans="1:10" x14ac:dyDescent="0.25">
      <c r="A1" t="s">
        <v>396</v>
      </c>
      <c r="B1" t="s">
        <v>397</v>
      </c>
      <c r="C1" t="s">
        <v>398</v>
      </c>
      <c r="D1" t="s">
        <v>399</v>
      </c>
      <c r="E1" t="s">
        <v>400</v>
      </c>
      <c r="F1" t="s">
        <v>401</v>
      </c>
      <c r="G1" t="s">
        <v>402</v>
      </c>
      <c r="H1" t="s">
        <v>403</v>
      </c>
      <c r="I1" t="s">
        <v>403</v>
      </c>
    </row>
    <row r="2" spans="1:10" x14ac:dyDescent="0.25">
      <c r="A2" s="91">
        <v>2017</v>
      </c>
      <c r="B2" s="91">
        <v>1</v>
      </c>
      <c r="C2" s="91" t="s">
        <v>6</v>
      </c>
      <c r="D2" s="102">
        <v>21640153</v>
      </c>
      <c r="E2" s="103">
        <f>LN(D2)</f>
        <v>16.890061082157857</v>
      </c>
      <c r="F2" s="91">
        <v>62</v>
      </c>
      <c r="G2" s="91">
        <v>0</v>
      </c>
      <c r="H2" s="91" t="s">
        <v>8</v>
      </c>
      <c r="I2" s="91">
        <v>1</v>
      </c>
    </row>
    <row r="3" spans="1:10" x14ac:dyDescent="0.25">
      <c r="A3" s="91">
        <v>2017</v>
      </c>
      <c r="B3" s="91">
        <v>2</v>
      </c>
      <c r="C3" s="91" t="s">
        <v>14</v>
      </c>
      <c r="D3" s="102">
        <v>46625315</v>
      </c>
      <c r="E3" s="103">
        <f t="shared" ref="E3:E66" si="0">LN(D3)</f>
        <v>17.657654191937603</v>
      </c>
      <c r="F3" s="91">
        <v>46</v>
      </c>
      <c r="G3" s="91">
        <v>0</v>
      </c>
      <c r="H3" s="91" t="s">
        <v>17</v>
      </c>
      <c r="I3" s="91">
        <v>1</v>
      </c>
    </row>
    <row r="4" spans="1:10" x14ac:dyDescent="0.25">
      <c r="A4" s="91">
        <v>2017</v>
      </c>
      <c r="B4" s="91">
        <v>3</v>
      </c>
      <c r="C4" s="91" t="s">
        <v>25</v>
      </c>
      <c r="D4" s="102">
        <v>2842980</v>
      </c>
      <c r="E4" s="103">
        <f t="shared" si="0"/>
        <v>14.860363355786022</v>
      </c>
      <c r="F4" s="91">
        <v>19</v>
      </c>
      <c r="G4" s="91">
        <v>0</v>
      </c>
      <c r="H4" s="91" t="s">
        <v>5</v>
      </c>
      <c r="I4" s="91">
        <v>1</v>
      </c>
    </row>
    <row r="5" spans="1:10" x14ac:dyDescent="0.25">
      <c r="A5" s="91">
        <v>2017</v>
      </c>
      <c r="B5" s="91">
        <v>4</v>
      </c>
      <c r="C5" s="91" t="s">
        <v>27</v>
      </c>
      <c r="D5" s="102">
        <v>22809</v>
      </c>
      <c r="E5" s="103">
        <f t="shared" si="0"/>
        <v>10.034910473896547</v>
      </c>
      <c r="F5" s="91">
        <v>35</v>
      </c>
      <c r="G5" s="91">
        <v>1</v>
      </c>
      <c r="H5" s="91" t="s">
        <v>5</v>
      </c>
      <c r="I5" s="91">
        <v>1</v>
      </c>
    </row>
    <row r="6" spans="1:10" x14ac:dyDescent="0.25">
      <c r="A6" s="91">
        <v>2017</v>
      </c>
      <c r="B6" s="91">
        <v>5</v>
      </c>
      <c r="C6" s="91" t="s">
        <v>29</v>
      </c>
      <c r="D6" s="102">
        <v>1057374.08</v>
      </c>
      <c r="E6" s="103">
        <f t="shared" si="0"/>
        <v>13.871299109526731</v>
      </c>
      <c r="F6" s="91">
        <v>16</v>
      </c>
      <c r="G6" s="91">
        <v>0</v>
      </c>
      <c r="H6" s="91" t="s">
        <v>30</v>
      </c>
      <c r="I6" s="91">
        <v>0</v>
      </c>
      <c r="J6" s="91">
        <v>1</v>
      </c>
    </row>
    <row r="7" spans="1:10" x14ac:dyDescent="0.25">
      <c r="A7" s="91">
        <v>2017</v>
      </c>
      <c r="B7" s="91">
        <v>6</v>
      </c>
      <c r="C7" s="91" t="s">
        <v>32</v>
      </c>
      <c r="D7" s="102">
        <v>2284033</v>
      </c>
      <c r="E7" s="103">
        <f t="shared" si="0"/>
        <v>14.641453297989914</v>
      </c>
      <c r="F7" s="91">
        <v>13</v>
      </c>
      <c r="G7" s="91">
        <v>0</v>
      </c>
      <c r="H7" s="91" t="s">
        <v>5</v>
      </c>
      <c r="I7" s="91">
        <v>1</v>
      </c>
    </row>
    <row r="8" spans="1:10" x14ac:dyDescent="0.25">
      <c r="A8" s="91">
        <v>2017</v>
      </c>
      <c r="B8" s="91">
        <v>7</v>
      </c>
      <c r="C8" s="91" t="s">
        <v>34</v>
      </c>
      <c r="D8" s="102">
        <v>8376000</v>
      </c>
      <c r="E8" s="103">
        <f t="shared" si="0"/>
        <v>15.940881031532509</v>
      </c>
      <c r="F8" s="91">
        <v>50</v>
      </c>
      <c r="G8" s="91">
        <v>0</v>
      </c>
      <c r="H8" s="91" t="s">
        <v>35</v>
      </c>
      <c r="I8" s="91">
        <v>1</v>
      </c>
    </row>
    <row r="9" spans="1:10" x14ac:dyDescent="0.25">
      <c r="A9" s="91">
        <v>2017</v>
      </c>
      <c r="B9" s="91">
        <v>8</v>
      </c>
      <c r="C9" s="91" t="s">
        <v>37</v>
      </c>
      <c r="D9" s="102">
        <v>451845101</v>
      </c>
      <c r="E9" s="103">
        <f t="shared" si="0"/>
        <v>19.928849982159846</v>
      </c>
      <c r="F9" s="91">
        <v>122</v>
      </c>
      <c r="G9" s="91">
        <v>0</v>
      </c>
      <c r="H9" s="91" t="s">
        <v>17</v>
      </c>
      <c r="I9" s="91">
        <v>1</v>
      </c>
    </row>
    <row r="10" spans="1:10" x14ac:dyDescent="0.25">
      <c r="A10" s="91">
        <v>2017</v>
      </c>
      <c r="B10" s="91">
        <v>9</v>
      </c>
      <c r="C10" s="91" t="s">
        <v>41</v>
      </c>
      <c r="D10" s="102">
        <v>1094376.68</v>
      </c>
      <c r="E10" s="103">
        <f t="shared" si="0"/>
        <v>13.905695517143862</v>
      </c>
      <c r="F10" s="91">
        <v>22</v>
      </c>
      <c r="G10" s="91">
        <v>0</v>
      </c>
      <c r="H10" s="91" t="s">
        <v>42</v>
      </c>
      <c r="I10" s="91">
        <v>1</v>
      </c>
    </row>
    <row r="11" spans="1:10" x14ac:dyDescent="0.25">
      <c r="A11" s="91">
        <v>2017</v>
      </c>
      <c r="B11" s="91">
        <v>10</v>
      </c>
      <c r="C11" s="91" t="s">
        <v>44</v>
      </c>
      <c r="D11" s="102">
        <v>35446356</v>
      </c>
      <c r="E11" s="103">
        <f t="shared" si="0"/>
        <v>17.383531012993156</v>
      </c>
      <c r="F11" s="91">
        <v>19</v>
      </c>
      <c r="G11" s="91">
        <v>0</v>
      </c>
      <c r="H11" s="91" t="s">
        <v>17</v>
      </c>
      <c r="I11" s="91">
        <v>1</v>
      </c>
    </row>
    <row r="12" spans="1:10" x14ac:dyDescent="0.25">
      <c r="A12" s="91">
        <v>2017</v>
      </c>
      <c r="B12" s="91">
        <v>11</v>
      </c>
      <c r="C12" s="91" t="s">
        <v>47</v>
      </c>
      <c r="D12" s="102">
        <v>24465855</v>
      </c>
      <c r="E12" s="103">
        <f t="shared" si="0"/>
        <v>17.01278902997943</v>
      </c>
      <c r="F12" s="91">
        <v>26</v>
      </c>
      <c r="G12" s="91">
        <v>0</v>
      </c>
      <c r="H12" s="91" t="s">
        <v>327</v>
      </c>
      <c r="I12" s="91">
        <v>1</v>
      </c>
    </row>
    <row r="13" spans="1:10" x14ac:dyDescent="0.25">
      <c r="A13" s="91">
        <v>2017</v>
      </c>
      <c r="B13" s="91">
        <v>12</v>
      </c>
      <c r="C13" s="91" t="s">
        <v>49</v>
      </c>
      <c r="D13" s="102">
        <v>23072129</v>
      </c>
      <c r="E13" s="103">
        <f t="shared" si="0"/>
        <v>16.95413591024397</v>
      </c>
      <c r="F13" s="91">
        <v>24</v>
      </c>
      <c r="G13" s="91">
        <v>0</v>
      </c>
      <c r="H13" s="91" t="s">
        <v>48</v>
      </c>
      <c r="I13" s="91">
        <v>0</v>
      </c>
      <c r="J13" s="91">
        <v>1</v>
      </c>
    </row>
    <row r="14" spans="1:10" x14ac:dyDescent="0.25">
      <c r="A14" s="91">
        <v>2017</v>
      </c>
      <c r="B14" s="91">
        <v>13</v>
      </c>
      <c r="C14" s="91" t="s">
        <v>55</v>
      </c>
      <c r="D14" s="102">
        <v>2482666</v>
      </c>
      <c r="E14" s="103">
        <f t="shared" si="0"/>
        <v>14.72484354074243</v>
      </c>
      <c r="F14" s="91">
        <v>56</v>
      </c>
      <c r="G14" s="91">
        <v>0</v>
      </c>
      <c r="H14" s="91" t="s">
        <v>51</v>
      </c>
      <c r="I14" s="91">
        <v>0</v>
      </c>
      <c r="J14" s="91">
        <v>1</v>
      </c>
    </row>
    <row r="15" spans="1:10" x14ac:dyDescent="0.25">
      <c r="A15" s="91">
        <v>2017</v>
      </c>
      <c r="B15" s="91">
        <v>14</v>
      </c>
      <c r="C15" s="91" t="s">
        <v>58</v>
      </c>
      <c r="D15" s="102">
        <v>3235546</v>
      </c>
      <c r="E15" s="103">
        <f t="shared" si="0"/>
        <v>14.989708250655475</v>
      </c>
      <c r="F15" s="91">
        <v>15</v>
      </c>
      <c r="G15" s="91">
        <v>0</v>
      </c>
      <c r="H15" s="91" t="s">
        <v>5</v>
      </c>
      <c r="I15" s="91">
        <v>1</v>
      </c>
    </row>
    <row r="16" spans="1:10" x14ac:dyDescent="0.25">
      <c r="A16" s="91">
        <v>2017</v>
      </c>
      <c r="B16" s="91">
        <v>15</v>
      </c>
      <c r="C16" s="91" t="s">
        <v>404</v>
      </c>
      <c r="D16" s="102">
        <v>8180922.9100000001</v>
      </c>
      <c r="E16" s="103">
        <f t="shared" si="0"/>
        <v>15.917315527398022</v>
      </c>
      <c r="F16" s="91">
        <v>24</v>
      </c>
      <c r="G16" s="91">
        <v>0</v>
      </c>
      <c r="H16" s="91" t="s">
        <v>30</v>
      </c>
      <c r="I16" s="91">
        <v>0</v>
      </c>
      <c r="J16" s="91">
        <v>1</v>
      </c>
    </row>
    <row r="17" spans="1:10" x14ac:dyDescent="0.25">
      <c r="A17" s="91">
        <v>2017</v>
      </c>
      <c r="B17" s="91">
        <v>16</v>
      </c>
      <c r="C17" s="91" t="s">
        <v>70</v>
      </c>
      <c r="D17" s="102">
        <v>35595107</v>
      </c>
      <c r="E17" s="103">
        <f t="shared" si="0"/>
        <v>17.387718742555766</v>
      </c>
      <c r="F17" s="91">
        <v>48</v>
      </c>
      <c r="G17" s="91">
        <v>0</v>
      </c>
      <c r="H17" s="91" t="s">
        <v>66</v>
      </c>
      <c r="I17" s="91">
        <v>0</v>
      </c>
      <c r="J17" s="91">
        <v>1</v>
      </c>
    </row>
    <row r="18" spans="1:10" x14ac:dyDescent="0.25">
      <c r="A18" s="91">
        <v>2017</v>
      </c>
      <c r="B18" s="91">
        <v>17</v>
      </c>
      <c r="C18" s="91" t="s">
        <v>87</v>
      </c>
      <c r="D18" s="102">
        <v>13841000</v>
      </c>
      <c r="E18" s="103">
        <f t="shared" si="0"/>
        <v>16.443145759878838</v>
      </c>
      <c r="F18" s="91">
        <v>27</v>
      </c>
      <c r="G18" s="91">
        <v>0</v>
      </c>
      <c r="H18" s="91" t="s">
        <v>5</v>
      </c>
      <c r="I18" s="91">
        <v>1</v>
      </c>
    </row>
    <row r="19" spans="1:10" x14ac:dyDescent="0.25">
      <c r="A19" s="91">
        <v>2017</v>
      </c>
      <c r="B19" s="91">
        <v>18</v>
      </c>
      <c r="C19" s="91" t="s">
        <v>88</v>
      </c>
      <c r="D19" s="102">
        <v>1390299</v>
      </c>
      <c r="E19" s="103">
        <f t="shared" si="0"/>
        <v>14.145029389888153</v>
      </c>
      <c r="F19" s="91">
        <v>27</v>
      </c>
      <c r="G19" s="91">
        <v>0</v>
      </c>
      <c r="H19" s="91" t="s">
        <v>35</v>
      </c>
      <c r="I19" s="91">
        <v>1</v>
      </c>
    </row>
    <row r="20" spans="1:10" x14ac:dyDescent="0.25">
      <c r="A20" s="91">
        <v>2017</v>
      </c>
      <c r="B20" s="91">
        <v>19</v>
      </c>
      <c r="C20" s="91" t="s">
        <v>91</v>
      </c>
      <c r="D20" s="102">
        <v>5432920.0699999994</v>
      </c>
      <c r="E20" s="103">
        <f t="shared" si="0"/>
        <v>15.507987313479919</v>
      </c>
      <c r="F20" s="91">
        <v>26</v>
      </c>
      <c r="G20" s="91">
        <v>0</v>
      </c>
      <c r="H20" s="91" t="s">
        <v>5</v>
      </c>
      <c r="I20" s="91">
        <v>1</v>
      </c>
    </row>
    <row r="21" spans="1:10" x14ac:dyDescent="0.25">
      <c r="A21" s="91">
        <v>2017</v>
      </c>
      <c r="B21" s="91">
        <v>20</v>
      </c>
      <c r="C21" s="91" t="s">
        <v>97</v>
      </c>
      <c r="D21" s="102">
        <v>1627643.74</v>
      </c>
      <c r="E21" s="103">
        <f t="shared" si="0"/>
        <v>14.302643968673372</v>
      </c>
      <c r="F21" s="91">
        <v>18</v>
      </c>
      <c r="G21" s="91">
        <v>0</v>
      </c>
      <c r="H21" s="91" t="s">
        <v>35</v>
      </c>
      <c r="I21" s="91">
        <v>1</v>
      </c>
    </row>
    <row r="22" spans="1:10" x14ac:dyDescent="0.25">
      <c r="A22" s="91">
        <v>2017</v>
      </c>
      <c r="B22" s="91">
        <v>21</v>
      </c>
      <c r="C22" s="91" t="s">
        <v>100</v>
      </c>
      <c r="D22" s="102">
        <v>3791600</v>
      </c>
      <c r="E22" s="103">
        <f t="shared" si="0"/>
        <v>15.148298651561024</v>
      </c>
      <c r="F22" s="91">
        <v>7</v>
      </c>
      <c r="G22" s="91">
        <v>0</v>
      </c>
      <c r="H22" s="91" t="s">
        <v>5</v>
      </c>
      <c r="I22" s="91">
        <v>1</v>
      </c>
    </row>
    <row r="23" spans="1:10" x14ac:dyDescent="0.25">
      <c r="A23" s="91">
        <v>2017</v>
      </c>
      <c r="B23" s="91">
        <v>22</v>
      </c>
      <c r="C23" s="91" t="s">
        <v>103</v>
      </c>
      <c r="D23" s="102">
        <v>2550383.3199999998</v>
      </c>
      <c r="E23" s="103">
        <f t="shared" si="0"/>
        <v>14.751754227406082</v>
      </c>
      <c r="F23" s="91">
        <v>22</v>
      </c>
      <c r="G23" s="91">
        <v>0</v>
      </c>
      <c r="H23" s="91" t="s">
        <v>5</v>
      </c>
      <c r="I23" s="91">
        <v>1</v>
      </c>
    </row>
    <row r="24" spans="1:10" x14ac:dyDescent="0.25">
      <c r="A24" s="91">
        <v>2017</v>
      </c>
      <c r="B24" s="91">
        <v>23</v>
      </c>
      <c r="C24" s="91" t="s">
        <v>107</v>
      </c>
      <c r="D24" s="102">
        <v>1227327</v>
      </c>
      <c r="E24" s="103">
        <f t="shared" si="0"/>
        <v>14.020349191854736</v>
      </c>
      <c r="F24" s="91">
        <v>11</v>
      </c>
      <c r="G24" s="91">
        <v>0</v>
      </c>
      <c r="H24" s="91" t="s">
        <v>66</v>
      </c>
      <c r="I24" s="91">
        <v>0</v>
      </c>
      <c r="J24" s="91">
        <v>1</v>
      </c>
    </row>
    <row r="25" spans="1:10" x14ac:dyDescent="0.25">
      <c r="A25" s="91">
        <v>2017</v>
      </c>
      <c r="B25" s="91">
        <v>24</v>
      </c>
      <c r="C25" s="91" t="s">
        <v>117</v>
      </c>
      <c r="D25" s="102">
        <v>2900477.87</v>
      </c>
      <c r="E25" s="103">
        <f t="shared" si="0"/>
        <v>14.880386064140136</v>
      </c>
      <c r="F25" s="91">
        <v>14</v>
      </c>
      <c r="G25" s="91">
        <v>0</v>
      </c>
      <c r="H25" s="91" t="s">
        <v>17</v>
      </c>
      <c r="I25" s="91">
        <v>1</v>
      </c>
    </row>
    <row r="26" spans="1:10" x14ac:dyDescent="0.25">
      <c r="A26" s="91">
        <v>2017</v>
      </c>
      <c r="B26" s="91">
        <v>25</v>
      </c>
      <c r="C26" s="91" t="s">
        <v>120</v>
      </c>
      <c r="D26" s="102">
        <v>3052617</v>
      </c>
      <c r="E26" s="103">
        <f t="shared" si="0"/>
        <v>14.931509813470779</v>
      </c>
      <c r="F26" s="91">
        <v>21</v>
      </c>
      <c r="G26" s="91">
        <v>0</v>
      </c>
      <c r="H26" s="91" t="s">
        <v>66</v>
      </c>
      <c r="I26" s="91">
        <v>0</v>
      </c>
      <c r="J26" s="91">
        <v>1</v>
      </c>
    </row>
    <row r="27" spans="1:10" x14ac:dyDescent="0.25">
      <c r="A27" s="91">
        <v>2017</v>
      </c>
      <c r="B27" s="91">
        <v>26</v>
      </c>
      <c r="C27" s="91" t="s">
        <v>123</v>
      </c>
      <c r="D27" s="102">
        <v>3018214</v>
      </c>
      <c r="E27" s="103">
        <f t="shared" si="0"/>
        <v>14.920175823682102</v>
      </c>
      <c r="F27" s="91">
        <v>16</v>
      </c>
      <c r="G27" s="91">
        <v>0</v>
      </c>
      <c r="H27" s="91" t="s">
        <v>5</v>
      </c>
      <c r="I27" s="91">
        <v>1</v>
      </c>
    </row>
    <row r="28" spans="1:10" x14ac:dyDescent="0.25">
      <c r="A28" s="91">
        <v>2017</v>
      </c>
      <c r="B28" s="91">
        <v>27</v>
      </c>
      <c r="C28" s="91" t="s">
        <v>129</v>
      </c>
      <c r="D28" s="102">
        <v>15440419</v>
      </c>
      <c r="E28" s="103">
        <f t="shared" si="0"/>
        <v>16.552499239498395</v>
      </c>
      <c r="F28" s="91">
        <v>21</v>
      </c>
      <c r="G28" s="91">
        <v>0</v>
      </c>
      <c r="H28" s="91" t="s">
        <v>124</v>
      </c>
      <c r="I28" s="91">
        <v>1</v>
      </c>
    </row>
    <row r="29" spans="1:10" x14ac:dyDescent="0.25">
      <c r="A29" s="91">
        <v>2017</v>
      </c>
      <c r="B29" s="91">
        <v>28</v>
      </c>
      <c r="C29" s="91" t="s">
        <v>132</v>
      </c>
      <c r="D29" s="102">
        <v>800344</v>
      </c>
      <c r="E29" s="103">
        <f t="shared" si="0"/>
        <v>13.592796914226557</v>
      </c>
      <c r="F29" s="91">
        <v>30</v>
      </c>
      <c r="G29" s="91">
        <v>0</v>
      </c>
      <c r="H29" s="91" t="s">
        <v>30</v>
      </c>
      <c r="I29" s="91">
        <v>0</v>
      </c>
      <c r="J29" s="91">
        <v>1</v>
      </c>
    </row>
    <row r="30" spans="1:10" x14ac:dyDescent="0.25">
      <c r="A30" s="91">
        <v>2017</v>
      </c>
      <c r="B30" s="91">
        <v>29</v>
      </c>
      <c r="C30" s="91" t="s">
        <v>137</v>
      </c>
      <c r="D30" s="102">
        <v>11707000</v>
      </c>
      <c r="E30" s="103">
        <f t="shared" si="0"/>
        <v>16.275697511461811</v>
      </c>
      <c r="F30" s="91">
        <v>18</v>
      </c>
      <c r="G30" s="91">
        <v>0</v>
      </c>
      <c r="H30" s="91" t="s">
        <v>134</v>
      </c>
      <c r="I30" s="91">
        <v>0</v>
      </c>
      <c r="J30" s="91">
        <v>1</v>
      </c>
    </row>
    <row r="31" spans="1:10" x14ac:dyDescent="0.25">
      <c r="A31" s="91">
        <v>2017</v>
      </c>
      <c r="B31" s="91">
        <v>30</v>
      </c>
      <c r="C31" s="91" t="s">
        <v>140</v>
      </c>
      <c r="D31" s="102">
        <v>6855000</v>
      </c>
      <c r="E31" s="103">
        <f t="shared" si="0"/>
        <v>15.740488870978552</v>
      </c>
      <c r="F31" s="91">
        <v>29</v>
      </c>
      <c r="G31" s="91">
        <v>0</v>
      </c>
      <c r="H31" s="91" t="s">
        <v>136</v>
      </c>
      <c r="I31" s="91">
        <v>1</v>
      </c>
    </row>
    <row r="32" spans="1:10" x14ac:dyDescent="0.25">
      <c r="A32" s="91">
        <v>2017</v>
      </c>
      <c r="B32" s="91">
        <v>31</v>
      </c>
      <c r="C32" s="91" t="s">
        <v>143</v>
      </c>
      <c r="D32" s="102">
        <v>22875247</v>
      </c>
      <c r="E32" s="103">
        <f t="shared" si="0"/>
        <v>16.94556596688177</v>
      </c>
      <c r="F32" s="91">
        <v>37</v>
      </c>
      <c r="G32" s="91">
        <v>0</v>
      </c>
      <c r="H32" s="91" t="s">
        <v>51</v>
      </c>
      <c r="I32" s="91">
        <v>0</v>
      </c>
      <c r="J32" s="91">
        <v>1</v>
      </c>
    </row>
    <row r="33" spans="1:10" x14ac:dyDescent="0.25">
      <c r="A33" s="91">
        <v>2017</v>
      </c>
      <c r="B33" s="91">
        <v>32</v>
      </c>
      <c r="C33" s="91" t="s">
        <v>146</v>
      </c>
      <c r="D33" s="102">
        <v>7314658.0499999998</v>
      </c>
      <c r="E33" s="103">
        <f t="shared" si="0"/>
        <v>15.805390844932232</v>
      </c>
      <c r="F33" s="91">
        <v>26</v>
      </c>
      <c r="G33" s="91">
        <v>0</v>
      </c>
      <c r="H33" s="91" t="s">
        <v>144</v>
      </c>
      <c r="I33" s="91">
        <v>1</v>
      </c>
    </row>
    <row r="34" spans="1:10" x14ac:dyDescent="0.25">
      <c r="A34" s="91">
        <v>2017</v>
      </c>
      <c r="B34" s="91">
        <v>33</v>
      </c>
      <c r="C34" s="91" t="s">
        <v>154</v>
      </c>
      <c r="D34" s="102">
        <v>903849.5</v>
      </c>
      <c r="E34" s="103">
        <f t="shared" si="0"/>
        <v>13.714418143213711</v>
      </c>
      <c r="F34" s="91">
        <v>16</v>
      </c>
      <c r="G34" s="91">
        <v>0</v>
      </c>
      <c r="H34" s="91" t="s">
        <v>147</v>
      </c>
      <c r="I34" s="91">
        <v>0</v>
      </c>
      <c r="J34" s="91">
        <v>1</v>
      </c>
    </row>
    <row r="35" spans="1:10" x14ac:dyDescent="0.25">
      <c r="A35" s="91">
        <v>2017</v>
      </c>
      <c r="B35" s="91">
        <v>34</v>
      </c>
      <c r="C35" s="91" t="s">
        <v>156</v>
      </c>
      <c r="D35" s="102">
        <v>2078463</v>
      </c>
      <c r="E35" s="103">
        <f t="shared" si="0"/>
        <v>14.547139236217371</v>
      </c>
      <c r="F35" s="91">
        <v>16</v>
      </c>
      <c r="G35" s="91">
        <v>0</v>
      </c>
      <c r="H35" s="91" t="s">
        <v>66</v>
      </c>
      <c r="I35" s="91">
        <v>0</v>
      </c>
      <c r="J35" s="91">
        <v>1</v>
      </c>
    </row>
    <row r="36" spans="1:10" x14ac:dyDescent="0.25">
      <c r="A36" s="91">
        <v>2017</v>
      </c>
      <c r="B36" s="91">
        <v>35</v>
      </c>
      <c r="C36" s="91" t="s">
        <v>163</v>
      </c>
      <c r="D36" s="102">
        <v>4114947</v>
      </c>
      <c r="E36" s="103">
        <f t="shared" si="0"/>
        <v>15.230136512301979</v>
      </c>
      <c r="F36" s="91">
        <v>10</v>
      </c>
      <c r="G36" s="91">
        <v>0</v>
      </c>
      <c r="H36" s="91" t="s">
        <v>5</v>
      </c>
      <c r="I36" s="91">
        <v>1</v>
      </c>
    </row>
    <row r="37" spans="1:10" x14ac:dyDescent="0.25">
      <c r="A37" s="91">
        <v>2017</v>
      </c>
      <c r="B37" s="91">
        <v>36</v>
      </c>
      <c r="C37" s="91" t="s">
        <v>165</v>
      </c>
      <c r="D37" s="102">
        <v>11404267</v>
      </c>
      <c r="E37" s="103">
        <f t="shared" si="0"/>
        <v>16.249498141578226</v>
      </c>
      <c r="F37" s="91">
        <v>20</v>
      </c>
      <c r="G37" s="91">
        <v>0</v>
      </c>
      <c r="H37" s="91" t="s">
        <v>5</v>
      </c>
      <c r="I37" s="91">
        <v>1</v>
      </c>
    </row>
    <row r="38" spans="1:10" x14ac:dyDescent="0.25">
      <c r="A38" s="91">
        <v>2017</v>
      </c>
      <c r="B38" s="91">
        <v>37</v>
      </c>
      <c r="C38" s="91" t="s">
        <v>168</v>
      </c>
      <c r="D38" s="102">
        <v>51878659.07</v>
      </c>
      <c r="E38" s="103">
        <f t="shared" si="0"/>
        <v>17.764418070316726</v>
      </c>
      <c r="F38" s="91">
        <v>43</v>
      </c>
      <c r="G38" s="91">
        <v>0</v>
      </c>
      <c r="H38" s="91" t="s">
        <v>166</v>
      </c>
      <c r="I38" s="91">
        <v>1</v>
      </c>
    </row>
    <row r="39" spans="1:10" x14ac:dyDescent="0.25">
      <c r="A39" s="91">
        <v>2017</v>
      </c>
      <c r="B39" s="91">
        <v>38</v>
      </c>
      <c r="C39" s="91" t="s">
        <v>173</v>
      </c>
      <c r="D39" s="102">
        <v>2384666.7400000002</v>
      </c>
      <c r="E39" s="103">
        <f t="shared" si="0"/>
        <v>14.684569940885018</v>
      </c>
      <c r="F39" s="91">
        <v>58</v>
      </c>
      <c r="G39" s="91">
        <v>0</v>
      </c>
      <c r="H39" s="91" t="s">
        <v>171</v>
      </c>
      <c r="I39" s="91">
        <v>1</v>
      </c>
    </row>
    <row r="40" spans="1:10" x14ac:dyDescent="0.25">
      <c r="A40" s="91">
        <v>2017</v>
      </c>
      <c r="B40" s="91">
        <v>39</v>
      </c>
      <c r="C40" s="91" t="s">
        <v>176</v>
      </c>
      <c r="D40" s="102">
        <v>190961000</v>
      </c>
      <c r="E40" s="103">
        <f t="shared" si="0"/>
        <v>19.067579776679921</v>
      </c>
      <c r="F40" s="91">
        <v>29</v>
      </c>
      <c r="G40" s="91">
        <v>0</v>
      </c>
      <c r="H40" s="91" t="s">
        <v>171</v>
      </c>
      <c r="I40" s="91">
        <v>1</v>
      </c>
    </row>
    <row r="41" spans="1:10" x14ac:dyDescent="0.25">
      <c r="A41" s="91">
        <v>2017</v>
      </c>
      <c r="B41" s="91">
        <v>40</v>
      </c>
      <c r="C41" s="91" t="s">
        <v>180</v>
      </c>
      <c r="D41" s="102">
        <v>80517582</v>
      </c>
      <c r="E41" s="103">
        <f t="shared" si="0"/>
        <v>18.2039861284787</v>
      </c>
      <c r="F41" s="91">
        <v>74</v>
      </c>
      <c r="G41" s="91">
        <v>0</v>
      </c>
      <c r="H41" s="91" t="s">
        <v>17</v>
      </c>
      <c r="I41" s="91">
        <v>1</v>
      </c>
    </row>
    <row r="42" spans="1:10" x14ac:dyDescent="0.25">
      <c r="A42" s="91">
        <v>2017</v>
      </c>
      <c r="B42" s="91">
        <v>41</v>
      </c>
      <c r="C42" s="91" t="s">
        <v>183</v>
      </c>
      <c r="D42" s="102">
        <v>6800487</v>
      </c>
      <c r="E42" s="103">
        <f t="shared" si="0"/>
        <v>15.732504785228972</v>
      </c>
      <c r="F42" s="91">
        <v>41</v>
      </c>
      <c r="G42" s="91">
        <v>0</v>
      </c>
      <c r="H42" s="91" t="s">
        <v>181</v>
      </c>
      <c r="I42" s="91">
        <v>1</v>
      </c>
    </row>
    <row r="43" spans="1:10" x14ac:dyDescent="0.25">
      <c r="A43" s="91">
        <v>2017</v>
      </c>
      <c r="B43" s="91">
        <v>42</v>
      </c>
      <c r="C43" s="91" t="s">
        <v>187</v>
      </c>
      <c r="D43" s="102">
        <v>119057000</v>
      </c>
      <c r="E43" s="103">
        <f t="shared" si="0"/>
        <v>18.595112927992588</v>
      </c>
      <c r="F43" s="91">
        <v>24</v>
      </c>
      <c r="G43" s="91">
        <v>0</v>
      </c>
      <c r="H43" s="91" t="s">
        <v>185</v>
      </c>
      <c r="I43" s="91">
        <v>1</v>
      </c>
    </row>
    <row r="44" spans="1:10" x14ac:dyDescent="0.25">
      <c r="A44" s="91">
        <v>2017</v>
      </c>
      <c r="B44" s="91">
        <v>43</v>
      </c>
      <c r="C44" s="91" t="s">
        <v>190</v>
      </c>
      <c r="D44" s="102">
        <v>82245000</v>
      </c>
      <c r="E44" s="103">
        <f t="shared" si="0"/>
        <v>18.225213155488394</v>
      </c>
      <c r="F44" s="91">
        <v>30</v>
      </c>
      <c r="G44" s="91">
        <v>0</v>
      </c>
      <c r="H44" s="91" t="s">
        <v>5</v>
      </c>
      <c r="I44" s="91">
        <v>1</v>
      </c>
    </row>
    <row r="45" spans="1:10" x14ac:dyDescent="0.25">
      <c r="A45" s="91">
        <v>2017</v>
      </c>
      <c r="B45" s="91">
        <v>44</v>
      </c>
      <c r="C45" s="91" t="s">
        <v>194</v>
      </c>
      <c r="D45" s="102">
        <v>327204.26</v>
      </c>
      <c r="E45" s="103">
        <f t="shared" si="0"/>
        <v>12.698339903185877</v>
      </c>
      <c r="F45" s="91">
        <v>25</v>
      </c>
      <c r="G45" s="91">
        <v>0</v>
      </c>
      <c r="H45" s="91" t="s">
        <v>192</v>
      </c>
      <c r="I45" s="91">
        <v>0</v>
      </c>
      <c r="J45" s="91">
        <v>1</v>
      </c>
    </row>
    <row r="46" spans="1:10" x14ac:dyDescent="0.25">
      <c r="A46" s="91">
        <v>2017</v>
      </c>
      <c r="B46" s="91">
        <v>45</v>
      </c>
      <c r="C46" s="91" t="s">
        <v>197</v>
      </c>
      <c r="D46" s="102">
        <v>10434578</v>
      </c>
      <c r="E46" s="103">
        <f t="shared" si="0"/>
        <v>16.160635656851536</v>
      </c>
      <c r="F46" s="91">
        <v>36</v>
      </c>
      <c r="G46" s="91">
        <v>1</v>
      </c>
      <c r="H46" s="91" t="s">
        <v>195</v>
      </c>
      <c r="I46" s="91">
        <v>0</v>
      </c>
      <c r="J46" s="91">
        <v>1</v>
      </c>
    </row>
    <row r="47" spans="1:10" x14ac:dyDescent="0.25">
      <c r="A47" s="91">
        <v>2017</v>
      </c>
      <c r="B47" s="91">
        <v>46</v>
      </c>
      <c r="C47" s="91" t="s">
        <v>202</v>
      </c>
      <c r="D47" s="102">
        <v>18396348</v>
      </c>
      <c r="E47" s="103">
        <f t="shared" si="0"/>
        <v>16.727662724618927</v>
      </c>
      <c r="F47" s="91">
        <v>23</v>
      </c>
      <c r="G47" s="91">
        <v>1</v>
      </c>
      <c r="H47" s="91" t="s">
        <v>5</v>
      </c>
      <c r="I47" s="91">
        <v>1</v>
      </c>
    </row>
    <row r="48" spans="1:10" x14ac:dyDescent="0.25">
      <c r="A48" s="91">
        <v>2017</v>
      </c>
      <c r="B48" s="91">
        <v>47</v>
      </c>
      <c r="C48" s="91" t="s">
        <v>205</v>
      </c>
      <c r="D48" s="102">
        <v>29650000</v>
      </c>
      <c r="E48" s="103">
        <f t="shared" si="0"/>
        <v>17.204972683408009</v>
      </c>
      <c r="F48" s="91">
        <v>75</v>
      </c>
      <c r="G48" s="91">
        <v>1</v>
      </c>
      <c r="H48" s="91" t="s">
        <v>5</v>
      </c>
      <c r="I48" s="91">
        <v>1</v>
      </c>
    </row>
    <row r="49" spans="1:10" x14ac:dyDescent="0.25">
      <c r="A49" s="91">
        <v>2017</v>
      </c>
      <c r="B49" s="91">
        <v>48</v>
      </c>
      <c r="C49" s="91" t="s">
        <v>208</v>
      </c>
      <c r="D49" s="102">
        <v>30397021</v>
      </c>
      <c r="E49" s="103">
        <f t="shared" si="0"/>
        <v>17.22985516815373</v>
      </c>
      <c r="F49" s="91">
        <v>13</v>
      </c>
      <c r="G49" s="91">
        <v>1</v>
      </c>
      <c r="H49" s="91" t="s">
        <v>147</v>
      </c>
      <c r="I49" s="91">
        <v>0</v>
      </c>
      <c r="J49" s="91">
        <v>1</v>
      </c>
    </row>
    <row r="50" spans="1:10" x14ac:dyDescent="0.25">
      <c r="A50" s="91">
        <v>2017</v>
      </c>
      <c r="B50" s="91">
        <v>49</v>
      </c>
      <c r="C50" s="91" t="s">
        <v>217</v>
      </c>
      <c r="D50" s="102">
        <v>24607000</v>
      </c>
      <c r="E50" s="103">
        <f t="shared" si="0"/>
        <v>17.018541513270637</v>
      </c>
      <c r="F50" s="91">
        <v>31</v>
      </c>
      <c r="G50" s="91">
        <v>1</v>
      </c>
      <c r="H50" s="91" t="s">
        <v>5</v>
      </c>
      <c r="I50" s="91">
        <v>1</v>
      </c>
    </row>
    <row r="51" spans="1:10" x14ac:dyDescent="0.25">
      <c r="A51" s="91">
        <v>2017</v>
      </c>
      <c r="B51" s="91">
        <v>50</v>
      </c>
      <c r="C51" s="91" t="s">
        <v>222</v>
      </c>
      <c r="D51" s="102">
        <v>5875354</v>
      </c>
      <c r="E51" s="103">
        <f t="shared" si="0"/>
        <v>15.586276871498367</v>
      </c>
      <c r="F51" s="91">
        <v>55</v>
      </c>
      <c r="G51" s="91">
        <v>0</v>
      </c>
      <c r="H51" s="91" t="s">
        <v>17</v>
      </c>
      <c r="I51" s="91">
        <v>1</v>
      </c>
    </row>
    <row r="52" spans="1:10" x14ac:dyDescent="0.25">
      <c r="A52" s="91">
        <v>2017</v>
      </c>
      <c r="B52" s="91">
        <v>51</v>
      </c>
      <c r="C52" s="91" t="s">
        <v>225</v>
      </c>
      <c r="D52" s="102">
        <v>15863000</v>
      </c>
      <c r="E52" s="103">
        <f t="shared" si="0"/>
        <v>16.579499911390592</v>
      </c>
      <c r="F52" s="91">
        <v>32</v>
      </c>
      <c r="G52" s="91">
        <v>0</v>
      </c>
      <c r="H52" s="91" t="s">
        <v>223</v>
      </c>
      <c r="I52" s="91">
        <v>0</v>
      </c>
      <c r="J52" s="91">
        <v>1</v>
      </c>
    </row>
    <row r="53" spans="1:10" x14ac:dyDescent="0.25">
      <c r="A53" s="91">
        <v>2017</v>
      </c>
      <c r="B53" s="91">
        <v>52</v>
      </c>
      <c r="C53" s="91" t="s">
        <v>405</v>
      </c>
      <c r="D53" s="102">
        <v>22062057</v>
      </c>
      <c r="E53" s="103">
        <f t="shared" si="0"/>
        <v>16.909369813136085</v>
      </c>
      <c r="F53" s="91">
        <v>13</v>
      </c>
      <c r="G53" s="91">
        <v>0</v>
      </c>
      <c r="H53" s="91" t="s">
        <v>5</v>
      </c>
      <c r="I53" s="91">
        <v>1</v>
      </c>
    </row>
    <row r="54" spans="1:10" x14ac:dyDescent="0.25">
      <c r="A54" s="91">
        <v>2017</v>
      </c>
      <c r="B54" s="91">
        <v>53</v>
      </c>
      <c r="C54" s="91" t="s">
        <v>233</v>
      </c>
      <c r="D54" s="102">
        <v>8957357.7899999991</v>
      </c>
      <c r="E54" s="103">
        <f t="shared" si="0"/>
        <v>16.007985851953723</v>
      </c>
      <c r="F54" s="91">
        <v>34</v>
      </c>
      <c r="G54" s="91">
        <v>0</v>
      </c>
      <c r="H54" s="91" t="s">
        <v>5</v>
      </c>
      <c r="I54" s="91">
        <v>1</v>
      </c>
    </row>
    <row r="55" spans="1:10" x14ac:dyDescent="0.25">
      <c r="A55" s="91">
        <v>2017</v>
      </c>
      <c r="B55" s="91">
        <v>54</v>
      </c>
      <c r="C55" s="91" t="s">
        <v>237</v>
      </c>
      <c r="D55" s="102">
        <v>4605981</v>
      </c>
      <c r="E55" s="103">
        <f t="shared" si="0"/>
        <v>15.342866234299983</v>
      </c>
      <c r="F55" s="91">
        <v>27</v>
      </c>
      <c r="G55" s="91">
        <v>0</v>
      </c>
      <c r="H55" s="91" t="s">
        <v>5</v>
      </c>
      <c r="I55" s="91">
        <v>1</v>
      </c>
    </row>
    <row r="56" spans="1:10" x14ac:dyDescent="0.25">
      <c r="A56" s="91">
        <v>2017</v>
      </c>
      <c r="B56" s="91">
        <v>55</v>
      </c>
      <c r="C56" s="91" t="s">
        <v>244</v>
      </c>
      <c r="D56" s="102">
        <v>7779030.25</v>
      </c>
      <c r="E56" s="103">
        <f t="shared" si="0"/>
        <v>15.866942241855988</v>
      </c>
      <c r="F56" s="91">
        <v>26</v>
      </c>
      <c r="G56" s="91">
        <v>0</v>
      </c>
      <c r="H56" s="91" t="s">
        <v>239</v>
      </c>
      <c r="I56" s="91">
        <v>0</v>
      </c>
      <c r="J56" s="91">
        <v>1</v>
      </c>
    </row>
    <row r="57" spans="1:10" x14ac:dyDescent="0.25">
      <c r="A57" s="91">
        <v>2017</v>
      </c>
      <c r="B57" s="91">
        <v>56</v>
      </c>
      <c r="C57" s="91" t="s">
        <v>248</v>
      </c>
      <c r="D57" s="102">
        <v>2457540</v>
      </c>
      <c r="E57" s="103">
        <f t="shared" si="0"/>
        <v>14.714671407574961</v>
      </c>
      <c r="F57" s="91">
        <v>72</v>
      </c>
      <c r="G57" s="91">
        <v>0</v>
      </c>
      <c r="H57" s="91" t="s">
        <v>245</v>
      </c>
      <c r="I57" s="91">
        <v>0</v>
      </c>
      <c r="J57" s="91">
        <v>1</v>
      </c>
    </row>
    <row r="58" spans="1:10" x14ac:dyDescent="0.25">
      <c r="A58" s="91">
        <v>2017</v>
      </c>
      <c r="B58" s="91">
        <v>57</v>
      </c>
      <c r="C58" s="91" t="s">
        <v>251</v>
      </c>
      <c r="D58" s="102">
        <v>6633793</v>
      </c>
      <c r="E58" s="103">
        <f t="shared" si="0"/>
        <v>15.707687295108133</v>
      </c>
      <c r="F58" s="91">
        <v>20</v>
      </c>
      <c r="G58" s="91">
        <v>0</v>
      </c>
      <c r="H58" s="91" t="s">
        <v>5</v>
      </c>
      <c r="I58" s="91">
        <v>1</v>
      </c>
    </row>
    <row r="59" spans="1:10" x14ac:dyDescent="0.25">
      <c r="A59" s="91">
        <v>2017</v>
      </c>
      <c r="B59" s="91">
        <v>58</v>
      </c>
      <c r="C59" s="91" t="s">
        <v>255</v>
      </c>
      <c r="D59" s="102">
        <v>14156477.15</v>
      </c>
      <c r="E59" s="103">
        <f t="shared" si="0"/>
        <v>16.465682826434961</v>
      </c>
      <c r="F59" s="91">
        <v>33</v>
      </c>
      <c r="G59" s="91">
        <v>0</v>
      </c>
      <c r="H59" s="91" t="s">
        <v>253</v>
      </c>
      <c r="I59" s="91">
        <v>0</v>
      </c>
      <c r="J59" s="91">
        <v>1</v>
      </c>
    </row>
    <row r="60" spans="1:10" x14ac:dyDescent="0.25">
      <c r="A60" s="91">
        <v>2017</v>
      </c>
      <c r="B60" s="91">
        <v>59</v>
      </c>
      <c r="C60" s="91" t="s">
        <v>258</v>
      </c>
      <c r="D60" s="102">
        <v>11942958</v>
      </c>
      <c r="E60" s="103">
        <f t="shared" si="0"/>
        <v>16.295652373940033</v>
      </c>
      <c r="F60" s="91">
        <v>79</v>
      </c>
      <c r="G60" s="91">
        <v>0</v>
      </c>
      <c r="H60" s="91" t="s">
        <v>5</v>
      </c>
      <c r="I60" s="91">
        <v>1</v>
      </c>
    </row>
    <row r="61" spans="1:10" x14ac:dyDescent="0.25">
      <c r="A61" s="91">
        <v>2017</v>
      </c>
      <c r="B61" s="91">
        <v>60</v>
      </c>
      <c r="C61" s="91" t="s">
        <v>261</v>
      </c>
      <c r="D61" s="102">
        <v>10377224</v>
      </c>
      <c r="E61" s="103">
        <f t="shared" si="0"/>
        <v>16.155123962554686</v>
      </c>
      <c r="F61" s="91">
        <v>23</v>
      </c>
      <c r="G61" s="91">
        <v>0</v>
      </c>
      <c r="H61" s="91" t="s">
        <v>5</v>
      </c>
      <c r="I61" s="91">
        <v>1</v>
      </c>
    </row>
    <row r="62" spans="1:10" x14ac:dyDescent="0.25">
      <c r="A62" s="91">
        <v>2017</v>
      </c>
      <c r="B62" s="91">
        <v>61</v>
      </c>
      <c r="C62" s="91" t="s">
        <v>264</v>
      </c>
      <c r="D62" s="102">
        <v>6695786</v>
      </c>
      <c r="E62" s="103">
        <f t="shared" si="0"/>
        <v>15.716988931262003</v>
      </c>
      <c r="F62" s="91">
        <v>57</v>
      </c>
      <c r="G62" s="91">
        <v>0</v>
      </c>
      <c r="H62" s="91" t="s">
        <v>17</v>
      </c>
      <c r="I62" s="91">
        <v>1</v>
      </c>
    </row>
    <row r="63" spans="1:10" x14ac:dyDescent="0.25">
      <c r="A63" s="91">
        <v>2017</v>
      </c>
      <c r="B63" s="91">
        <v>62</v>
      </c>
      <c r="C63" s="91" t="s">
        <v>270</v>
      </c>
      <c r="D63" s="102">
        <v>1400153</v>
      </c>
      <c r="E63" s="103">
        <f t="shared" si="0"/>
        <v>14.152092074328523</v>
      </c>
      <c r="F63" s="91">
        <v>21</v>
      </c>
      <c r="G63" s="91">
        <v>0</v>
      </c>
      <c r="H63" s="91" t="s">
        <v>35</v>
      </c>
      <c r="I63" s="91">
        <v>1</v>
      </c>
    </row>
    <row r="64" spans="1:10" x14ac:dyDescent="0.25">
      <c r="A64" s="91">
        <v>2017</v>
      </c>
      <c r="B64" s="91">
        <v>63</v>
      </c>
      <c r="C64" s="91" t="s">
        <v>406</v>
      </c>
      <c r="D64" s="102">
        <v>25985898</v>
      </c>
      <c r="E64" s="103">
        <f t="shared" si="0"/>
        <v>17.073064564226627</v>
      </c>
      <c r="F64" s="91">
        <v>22</v>
      </c>
      <c r="G64" s="91">
        <v>0</v>
      </c>
      <c r="H64" s="91" t="s">
        <v>5</v>
      </c>
      <c r="I64" s="91">
        <v>1</v>
      </c>
    </row>
    <row r="65" spans="1:10" x14ac:dyDescent="0.25">
      <c r="A65" s="91">
        <v>2017</v>
      </c>
      <c r="B65" s="91">
        <v>64</v>
      </c>
      <c r="C65" s="91" t="s">
        <v>281</v>
      </c>
      <c r="D65" s="102">
        <v>29810519.530000001</v>
      </c>
      <c r="E65" s="103">
        <f t="shared" si="0"/>
        <v>17.210371893546668</v>
      </c>
      <c r="F65" s="91">
        <v>29</v>
      </c>
      <c r="G65" s="91">
        <v>0</v>
      </c>
      <c r="H65" s="91" t="s">
        <v>273</v>
      </c>
      <c r="I65" s="91">
        <v>0</v>
      </c>
      <c r="J65" s="91">
        <v>1</v>
      </c>
    </row>
    <row r="66" spans="1:10" x14ac:dyDescent="0.25">
      <c r="A66" s="91">
        <v>2017</v>
      </c>
      <c r="B66" s="91">
        <v>65</v>
      </c>
      <c r="C66" s="91" t="s">
        <v>289</v>
      </c>
      <c r="D66" s="102">
        <v>7999146</v>
      </c>
      <c r="E66" s="103">
        <f t="shared" si="0"/>
        <v>15.894845343945923</v>
      </c>
      <c r="F66" s="91">
        <v>45</v>
      </c>
      <c r="G66" s="91">
        <v>0</v>
      </c>
      <c r="H66" s="91" t="s">
        <v>17</v>
      </c>
      <c r="I66" s="91">
        <v>1</v>
      </c>
    </row>
    <row r="67" spans="1:10" x14ac:dyDescent="0.25">
      <c r="A67" s="91">
        <v>2017</v>
      </c>
      <c r="B67" s="91">
        <v>66</v>
      </c>
      <c r="C67" s="91" t="s">
        <v>295</v>
      </c>
      <c r="D67" s="102">
        <v>18431929.710000001</v>
      </c>
      <c r="E67" s="103">
        <f t="shared" ref="E67:E130" si="1">LN(D67)</f>
        <v>16.72959502899392</v>
      </c>
      <c r="F67" s="91">
        <v>19</v>
      </c>
      <c r="G67" s="91">
        <v>0</v>
      </c>
      <c r="H67" s="91" t="s">
        <v>5</v>
      </c>
      <c r="I67" s="91">
        <v>1</v>
      </c>
    </row>
    <row r="68" spans="1:10" x14ac:dyDescent="0.25">
      <c r="A68" s="91">
        <v>2017</v>
      </c>
      <c r="B68" s="91">
        <v>67</v>
      </c>
      <c r="C68" s="91" t="s">
        <v>300</v>
      </c>
      <c r="D68" s="102">
        <v>31564205</v>
      </c>
      <c r="E68" s="103">
        <f t="shared" si="1"/>
        <v>17.267534283342815</v>
      </c>
      <c r="F68" s="91">
        <v>52</v>
      </c>
      <c r="G68" s="91">
        <v>0</v>
      </c>
      <c r="H68" s="91" t="s">
        <v>297</v>
      </c>
      <c r="I68" s="91">
        <v>0</v>
      </c>
      <c r="J68" s="91">
        <v>1</v>
      </c>
    </row>
    <row r="69" spans="1:10" x14ac:dyDescent="0.25">
      <c r="A69" s="91">
        <v>2017</v>
      </c>
      <c r="B69" s="91">
        <v>68</v>
      </c>
      <c r="C69" s="91" t="s">
        <v>304</v>
      </c>
      <c r="D69" s="102">
        <v>49768327</v>
      </c>
      <c r="E69" s="103">
        <f t="shared" si="1"/>
        <v>17.722889335642467</v>
      </c>
      <c r="F69" s="91">
        <v>19</v>
      </c>
      <c r="G69" s="91">
        <v>0</v>
      </c>
      <c r="H69" s="91" t="s">
        <v>5</v>
      </c>
      <c r="I69" s="91">
        <v>1</v>
      </c>
    </row>
    <row r="70" spans="1:10" x14ac:dyDescent="0.25">
      <c r="A70" s="91">
        <v>2017</v>
      </c>
      <c r="B70" s="91">
        <v>69</v>
      </c>
      <c r="C70" s="91" t="s">
        <v>308</v>
      </c>
      <c r="D70" s="102">
        <v>1122952.0199999998</v>
      </c>
      <c r="E70" s="103">
        <f t="shared" si="1"/>
        <v>13.93147150796368</v>
      </c>
      <c r="F70" s="91">
        <v>54</v>
      </c>
      <c r="G70" s="91">
        <v>0</v>
      </c>
      <c r="H70" s="91" t="s">
        <v>5</v>
      </c>
      <c r="I70" s="91">
        <v>1</v>
      </c>
    </row>
    <row r="71" spans="1:10" x14ac:dyDescent="0.25">
      <c r="A71" s="91">
        <v>2017</v>
      </c>
      <c r="B71" s="91">
        <v>70</v>
      </c>
      <c r="C71" s="91" t="s">
        <v>311</v>
      </c>
      <c r="D71" s="102">
        <v>15636000</v>
      </c>
      <c r="E71" s="103">
        <f t="shared" si="1"/>
        <v>16.565086505894982</v>
      </c>
      <c r="F71" s="91">
        <v>11</v>
      </c>
      <c r="G71" s="91">
        <v>0</v>
      </c>
      <c r="H71" s="91" t="s">
        <v>51</v>
      </c>
      <c r="I71" s="91">
        <v>0</v>
      </c>
      <c r="J71" s="91">
        <v>1</v>
      </c>
    </row>
    <row r="72" spans="1:10" x14ac:dyDescent="0.25">
      <c r="A72" s="91">
        <v>2017</v>
      </c>
      <c r="B72" s="91">
        <v>71</v>
      </c>
      <c r="C72" s="91" t="s">
        <v>407</v>
      </c>
      <c r="D72" s="102">
        <v>11268036.140000001</v>
      </c>
      <c r="E72" s="103">
        <f t="shared" si="1"/>
        <v>16.237480615286</v>
      </c>
      <c r="F72" s="91">
        <v>54</v>
      </c>
      <c r="G72" s="91">
        <v>0</v>
      </c>
      <c r="H72" s="91" t="s">
        <v>5</v>
      </c>
      <c r="I72" s="91">
        <v>1</v>
      </c>
    </row>
    <row r="73" spans="1:10" x14ac:dyDescent="0.25">
      <c r="A73" s="91">
        <v>2017</v>
      </c>
      <c r="B73" s="91">
        <v>72</v>
      </c>
      <c r="C73" s="91" t="s">
        <v>408</v>
      </c>
      <c r="D73" s="102">
        <v>2774994</v>
      </c>
      <c r="E73" s="103">
        <f t="shared" si="1"/>
        <v>14.836159142998172</v>
      </c>
      <c r="F73" s="91">
        <v>35</v>
      </c>
      <c r="G73" s="91">
        <v>0</v>
      </c>
      <c r="H73" s="91" t="s">
        <v>192</v>
      </c>
      <c r="I73" s="91">
        <v>0</v>
      </c>
      <c r="J73" s="91">
        <v>1</v>
      </c>
    </row>
    <row r="74" spans="1:10" x14ac:dyDescent="0.25">
      <c r="A74">
        <v>2018</v>
      </c>
      <c r="B74">
        <v>1</v>
      </c>
      <c r="C74" t="s">
        <v>6</v>
      </c>
      <c r="D74" s="10">
        <v>25778932</v>
      </c>
      <c r="E74" s="49">
        <f t="shared" si="1"/>
        <v>17.065068127154024</v>
      </c>
      <c r="F74">
        <v>61</v>
      </c>
      <c r="G74">
        <v>0</v>
      </c>
      <c r="H74" t="s">
        <v>8</v>
      </c>
      <c r="I74">
        <v>1</v>
      </c>
    </row>
    <row r="75" spans="1:10" x14ac:dyDescent="0.25">
      <c r="A75">
        <v>2018</v>
      </c>
      <c r="B75">
        <v>2</v>
      </c>
      <c r="C75" t="s">
        <v>14</v>
      </c>
      <c r="D75" s="10">
        <v>44194022</v>
      </c>
      <c r="E75" s="49">
        <f t="shared" si="1"/>
        <v>17.604100089032194</v>
      </c>
      <c r="F75">
        <v>45</v>
      </c>
      <c r="G75">
        <v>0</v>
      </c>
      <c r="H75" t="s">
        <v>17</v>
      </c>
      <c r="I75">
        <v>1</v>
      </c>
    </row>
    <row r="76" spans="1:10" x14ac:dyDescent="0.25">
      <c r="A76">
        <v>2018</v>
      </c>
      <c r="B76">
        <v>3</v>
      </c>
      <c r="C76" t="s">
        <v>25</v>
      </c>
      <c r="D76" s="10">
        <v>2617340</v>
      </c>
      <c r="E76" s="49">
        <f t="shared" si="1"/>
        <v>14.777669092828887</v>
      </c>
      <c r="F76">
        <v>18</v>
      </c>
      <c r="G76">
        <v>0</v>
      </c>
      <c r="H76" t="s">
        <v>5</v>
      </c>
      <c r="I76">
        <v>1</v>
      </c>
    </row>
    <row r="77" spans="1:10" x14ac:dyDescent="0.25">
      <c r="A77">
        <v>2018</v>
      </c>
      <c r="B77">
        <v>4</v>
      </c>
      <c r="C77" t="s">
        <v>27</v>
      </c>
      <c r="D77" s="10">
        <v>20719</v>
      </c>
      <c r="E77" s="49">
        <f t="shared" si="1"/>
        <v>9.938806432660483</v>
      </c>
      <c r="F77">
        <v>34</v>
      </c>
      <c r="G77">
        <v>1</v>
      </c>
      <c r="H77" t="s">
        <v>5</v>
      </c>
      <c r="I77">
        <v>1</v>
      </c>
    </row>
    <row r="78" spans="1:10" x14ac:dyDescent="0.25">
      <c r="A78">
        <v>2018</v>
      </c>
      <c r="B78">
        <v>5</v>
      </c>
      <c r="C78" t="s">
        <v>29</v>
      </c>
      <c r="D78" s="10">
        <v>1617713.15</v>
      </c>
      <c r="E78" s="49">
        <f t="shared" si="1"/>
        <v>14.296524074109621</v>
      </c>
      <c r="F78">
        <v>15</v>
      </c>
      <c r="G78">
        <v>0</v>
      </c>
      <c r="H78" t="s">
        <v>30</v>
      </c>
      <c r="I78">
        <v>0</v>
      </c>
    </row>
    <row r="79" spans="1:10" x14ac:dyDescent="0.25">
      <c r="A79">
        <v>2018</v>
      </c>
      <c r="B79">
        <v>6</v>
      </c>
      <c r="C79" t="s">
        <v>32</v>
      </c>
      <c r="D79" s="10">
        <v>3108331</v>
      </c>
      <c r="E79" s="49">
        <f t="shared" si="1"/>
        <v>14.949596484155521</v>
      </c>
      <c r="F79">
        <v>12</v>
      </c>
      <c r="G79">
        <v>0</v>
      </c>
      <c r="H79" t="s">
        <v>5</v>
      </c>
      <c r="I79">
        <v>1</v>
      </c>
    </row>
    <row r="80" spans="1:10" x14ac:dyDescent="0.25">
      <c r="A80">
        <v>2018</v>
      </c>
      <c r="B80">
        <v>7</v>
      </c>
      <c r="C80" t="s">
        <v>34</v>
      </c>
      <c r="D80" s="10">
        <v>7325000</v>
      </c>
      <c r="E80" s="49">
        <f t="shared" si="1"/>
        <v>15.806803712867405</v>
      </c>
      <c r="F80">
        <v>49</v>
      </c>
      <c r="G80">
        <v>0</v>
      </c>
      <c r="H80" t="s">
        <v>35</v>
      </c>
      <c r="I80">
        <v>1</v>
      </c>
    </row>
    <row r="81" spans="1:9" x14ac:dyDescent="0.25">
      <c r="A81">
        <v>2018</v>
      </c>
      <c r="B81">
        <v>8</v>
      </c>
      <c r="C81" t="s">
        <v>37</v>
      </c>
      <c r="D81" s="10">
        <v>528774167</v>
      </c>
      <c r="E81" s="49">
        <f t="shared" si="1"/>
        <v>20.086071993190444</v>
      </c>
      <c r="F81">
        <v>121</v>
      </c>
      <c r="G81">
        <v>0</v>
      </c>
      <c r="H81" t="s">
        <v>17</v>
      </c>
      <c r="I81">
        <v>1</v>
      </c>
    </row>
    <row r="82" spans="1:9" x14ac:dyDescent="0.25">
      <c r="A82">
        <v>2018</v>
      </c>
      <c r="B82">
        <v>9</v>
      </c>
      <c r="C82" t="s">
        <v>41</v>
      </c>
      <c r="D82" s="10">
        <v>886995.72000000009</v>
      </c>
      <c r="E82" s="49">
        <f t="shared" si="1"/>
        <v>13.69559543602641</v>
      </c>
      <c r="F82">
        <v>21</v>
      </c>
      <c r="G82">
        <v>0</v>
      </c>
      <c r="H82" t="s">
        <v>42</v>
      </c>
      <c r="I82">
        <v>1</v>
      </c>
    </row>
    <row r="83" spans="1:9" x14ac:dyDescent="0.25">
      <c r="A83">
        <v>2018</v>
      </c>
      <c r="B83">
        <v>10</v>
      </c>
      <c r="C83" t="s">
        <v>44</v>
      </c>
      <c r="D83" s="10">
        <v>36822478</v>
      </c>
      <c r="E83" s="49">
        <f t="shared" si="1"/>
        <v>17.421619031884866</v>
      </c>
      <c r="F83">
        <v>18</v>
      </c>
      <c r="G83">
        <v>0</v>
      </c>
      <c r="H83" t="s">
        <v>17</v>
      </c>
      <c r="I83">
        <v>1</v>
      </c>
    </row>
    <row r="84" spans="1:9" x14ac:dyDescent="0.25">
      <c r="A84">
        <v>2018</v>
      </c>
      <c r="B84">
        <v>11</v>
      </c>
      <c r="C84" t="s">
        <v>47</v>
      </c>
      <c r="D84" s="10">
        <v>22413194</v>
      </c>
      <c r="E84" s="49">
        <f t="shared" si="1"/>
        <v>16.925160361279481</v>
      </c>
      <c r="F84">
        <v>25</v>
      </c>
      <c r="G84">
        <v>0</v>
      </c>
      <c r="H84" t="s">
        <v>327</v>
      </c>
      <c r="I84">
        <v>1</v>
      </c>
    </row>
    <row r="85" spans="1:9" x14ac:dyDescent="0.25">
      <c r="A85">
        <v>2018</v>
      </c>
      <c r="B85">
        <v>12</v>
      </c>
      <c r="C85" t="s">
        <v>49</v>
      </c>
      <c r="D85" s="10">
        <v>21609238</v>
      </c>
      <c r="E85" s="49">
        <f t="shared" si="1"/>
        <v>16.888631466408338</v>
      </c>
      <c r="F85">
        <v>23</v>
      </c>
      <c r="G85">
        <v>0</v>
      </c>
      <c r="H85" t="s">
        <v>48</v>
      </c>
      <c r="I85">
        <v>0</v>
      </c>
    </row>
    <row r="86" spans="1:9" x14ac:dyDescent="0.25">
      <c r="A86">
        <v>2018</v>
      </c>
      <c r="B86">
        <v>13</v>
      </c>
      <c r="C86" t="s">
        <v>55</v>
      </c>
      <c r="D86" s="10">
        <v>3428377</v>
      </c>
      <c r="E86" s="49">
        <f t="shared" si="1"/>
        <v>15.047597529315595</v>
      </c>
      <c r="F86">
        <v>55</v>
      </c>
      <c r="G86">
        <v>0</v>
      </c>
      <c r="H86" t="s">
        <v>51</v>
      </c>
      <c r="I86">
        <v>0</v>
      </c>
    </row>
    <row r="87" spans="1:9" x14ac:dyDescent="0.25">
      <c r="A87">
        <v>2018</v>
      </c>
      <c r="B87">
        <v>14</v>
      </c>
      <c r="C87" t="s">
        <v>58</v>
      </c>
      <c r="D87" s="10">
        <v>3016635</v>
      </c>
      <c r="E87" s="49">
        <f t="shared" si="1"/>
        <v>14.919652529715334</v>
      </c>
      <c r="F87">
        <v>14</v>
      </c>
      <c r="G87">
        <v>0</v>
      </c>
      <c r="H87" t="s">
        <v>5</v>
      </c>
      <c r="I87">
        <v>1</v>
      </c>
    </row>
    <row r="88" spans="1:9" x14ac:dyDescent="0.25">
      <c r="A88">
        <v>2018</v>
      </c>
      <c r="B88">
        <v>15</v>
      </c>
      <c r="C88" t="s">
        <v>404</v>
      </c>
      <c r="D88" s="10">
        <v>7905056.1600000001</v>
      </c>
      <c r="E88" s="49">
        <f t="shared" si="1"/>
        <v>15.8830131329648</v>
      </c>
      <c r="F88">
        <v>23</v>
      </c>
      <c r="G88">
        <v>0</v>
      </c>
      <c r="H88" t="s">
        <v>30</v>
      </c>
      <c r="I88">
        <v>0</v>
      </c>
    </row>
    <row r="89" spans="1:9" x14ac:dyDescent="0.25">
      <c r="A89">
        <v>2018</v>
      </c>
      <c r="B89">
        <v>16</v>
      </c>
      <c r="C89" t="s">
        <v>70</v>
      </c>
      <c r="D89" s="10">
        <v>38705305</v>
      </c>
      <c r="E89" s="49">
        <f t="shared" si="1"/>
        <v>17.471487228708749</v>
      </c>
      <c r="F89">
        <v>47</v>
      </c>
      <c r="G89">
        <v>0</v>
      </c>
      <c r="H89" t="s">
        <v>66</v>
      </c>
      <c r="I89">
        <v>0</v>
      </c>
    </row>
    <row r="90" spans="1:9" x14ac:dyDescent="0.25">
      <c r="A90">
        <v>2018</v>
      </c>
      <c r="B90">
        <v>17</v>
      </c>
      <c r="C90" t="s">
        <v>87</v>
      </c>
      <c r="D90" s="10">
        <v>11888000</v>
      </c>
      <c r="E90" s="49">
        <f t="shared" si="1"/>
        <v>16.291040045939678</v>
      </c>
      <c r="F90">
        <v>26</v>
      </c>
      <c r="G90">
        <v>0</v>
      </c>
      <c r="H90" t="s">
        <v>5</v>
      </c>
      <c r="I90">
        <v>1</v>
      </c>
    </row>
    <row r="91" spans="1:9" x14ac:dyDescent="0.25">
      <c r="A91">
        <v>2018</v>
      </c>
      <c r="B91">
        <v>18</v>
      </c>
      <c r="C91" t="s">
        <v>88</v>
      </c>
      <c r="D91" s="10">
        <v>2612363</v>
      </c>
      <c r="E91" s="49">
        <f t="shared" si="1"/>
        <v>14.775765733688781</v>
      </c>
      <c r="F91">
        <v>26</v>
      </c>
      <c r="G91">
        <v>0</v>
      </c>
      <c r="H91" t="s">
        <v>35</v>
      </c>
      <c r="I91">
        <v>1</v>
      </c>
    </row>
    <row r="92" spans="1:9" x14ac:dyDescent="0.25">
      <c r="A92">
        <v>2018</v>
      </c>
      <c r="B92">
        <v>19</v>
      </c>
      <c r="C92" t="s">
        <v>91</v>
      </c>
      <c r="D92" s="10">
        <v>5566251.2800000003</v>
      </c>
      <c r="E92" s="49">
        <f t="shared" si="1"/>
        <v>15.532232365575355</v>
      </c>
      <c r="F92">
        <v>25</v>
      </c>
      <c r="G92">
        <v>0</v>
      </c>
      <c r="H92" t="s">
        <v>5</v>
      </c>
      <c r="I92">
        <v>1</v>
      </c>
    </row>
    <row r="93" spans="1:9" x14ac:dyDescent="0.25">
      <c r="A93">
        <v>2018</v>
      </c>
      <c r="B93">
        <v>20</v>
      </c>
      <c r="C93" t="s">
        <v>97</v>
      </c>
      <c r="D93" s="10">
        <v>1417804.0599999998</v>
      </c>
      <c r="E93" s="49">
        <f t="shared" si="1"/>
        <v>14.164619795990435</v>
      </c>
      <c r="F93">
        <v>17</v>
      </c>
      <c r="G93">
        <v>0</v>
      </c>
      <c r="H93" t="s">
        <v>35</v>
      </c>
      <c r="I93">
        <v>1</v>
      </c>
    </row>
    <row r="94" spans="1:9" x14ac:dyDescent="0.25">
      <c r="A94">
        <v>2018</v>
      </c>
      <c r="B94">
        <v>21</v>
      </c>
      <c r="C94" t="s">
        <v>100</v>
      </c>
      <c r="D94" s="10">
        <v>3583824</v>
      </c>
      <c r="E94" s="49">
        <f t="shared" si="1"/>
        <v>15.091940944728305</v>
      </c>
      <c r="F94">
        <v>6</v>
      </c>
      <c r="G94">
        <v>0</v>
      </c>
      <c r="H94" t="s">
        <v>5</v>
      </c>
      <c r="I94">
        <v>1</v>
      </c>
    </row>
    <row r="95" spans="1:9" x14ac:dyDescent="0.25">
      <c r="A95">
        <v>2018</v>
      </c>
      <c r="B95">
        <v>22</v>
      </c>
      <c r="C95" t="s">
        <v>103</v>
      </c>
      <c r="D95" s="10">
        <v>1401708</v>
      </c>
      <c r="E95" s="49">
        <f t="shared" si="1"/>
        <v>14.153202050990217</v>
      </c>
      <c r="F95">
        <v>21</v>
      </c>
      <c r="G95">
        <v>0</v>
      </c>
      <c r="H95" t="s">
        <v>5</v>
      </c>
      <c r="I95">
        <v>1</v>
      </c>
    </row>
    <row r="96" spans="1:9" x14ac:dyDescent="0.25">
      <c r="A96">
        <v>2018</v>
      </c>
      <c r="B96">
        <v>23</v>
      </c>
      <c r="C96" t="s">
        <v>107</v>
      </c>
      <c r="D96" s="10">
        <v>1123093</v>
      </c>
      <c r="E96" s="49">
        <f t="shared" si="1"/>
        <v>13.931597044183061</v>
      </c>
      <c r="F96">
        <v>10</v>
      </c>
      <c r="G96">
        <v>0</v>
      </c>
      <c r="H96" t="s">
        <v>66</v>
      </c>
      <c r="I96">
        <v>0</v>
      </c>
    </row>
    <row r="97" spans="1:9" x14ac:dyDescent="0.25">
      <c r="A97">
        <v>2018</v>
      </c>
      <c r="B97">
        <v>24</v>
      </c>
      <c r="C97" t="s">
        <v>117</v>
      </c>
      <c r="D97" s="10">
        <v>1487188.25</v>
      </c>
      <c r="E97" s="49">
        <f t="shared" si="1"/>
        <v>14.212397814605067</v>
      </c>
      <c r="F97">
        <v>13</v>
      </c>
      <c r="G97">
        <v>0</v>
      </c>
      <c r="H97" t="s">
        <v>17</v>
      </c>
      <c r="I97">
        <v>1</v>
      </c>
    </row>
    <row r="98" spans="1:9" x14ac:dyDescent="0.25">
      <c r="A98">
        <v>2018</v>
      </c>
      <c r="B98">
        <v>25</v>
      </c>
      <c r="C98" t="s">
        <v>120</v>
      </c>
      <c r="D98" s="10">
        <v>2814306</v>
      </c>
      <c r="E98" s="49">
        <f t="shared" si="1"/>
        <v>14.850226252748753</v>
      </c>
      <c r="F98">
        <v>20</v>
      </c>
      <c r="G98">
        <v>0</v>
      </c>
      <c r="H98" t="s">
        <v>66</v>
      </c>
      <c r="I98">
        <v>0</v>
      </c>
    </row>
    <row r="99" spans="1:9" x14ac:dyDescent="0.25">
      <c r="A99">
        <v>2018</v>
      </c>
      <c r="B99">
        <v>26</v>
      </c>
      <c r="C99" t="s">
        <v>123</v>
      </c>
      <c r="D99" s="10">
        <v>4400564</v>
      </c>
      <c r="E99" s="49">
        <f t="shared" si="1"/>
        <v>15.297243272492084</v>
      </c>
      <c r="F99">
        <v>15</v>
      </c>
      <c r="G99">
        <v>0</v>
      </c>
      <c r="H99" t="s">
        <v>5</v>
      </c>
      <c r="I99">
        <v>1</v>
      </c>
    </row>
    <row r="100" spans="1:9" x14ac:dyDescent="0.25">
      <c r="A100">
        <v>2018</v>
      </c>
      <c r="B100">
        <v>27</v>
      </c>
      <c r="C100" t="s">
        <v>129</v>
      </c>
      <c r="D100" s="10">
        <v>11499186</v>
      </c>
      <c r="E100" s="49">
        <f t="shared" si="1"/>
        <v>16.257786808219574</v>
      </c>
      <c r="F100">
        <v>20</v>
      </c>
      <c r="G100">
        <v>0</v>
      </c>
      <c r="H100" t="s">
        <v>124</v>
      </c>
      <c r="I100">
        <v>1</v>
      </c>
    </row>
    <row r="101" spans="1:9" x14ac:dyDescent="0.25">
      <c r="A101">
        <v>2018</v>
      </c>
      <c r="B101">
        <v>28</v>
      </c>
      <c r="C101" t="s">
        <v>132</v>
      </c>
      <c r="D101" s="10">
        <v>2511445</v>
      </c>
      <c r="E101" s="49">
        <f t="shared" si="1"/>
        <v>14.736368842669055</v>
      </c>
      <c r="F101">
        <v>29</v>
      </c>
      <c r="G101">
        <v>0</v>
      </c>
      <c r="H101" t="s">
        <v>30</v>
      </c>
      <c r="I101">
        <v>0</v>
      </c>
    </row>
    <row r="102" spans="1:9" x14ac:dyDescent="0.25">
      <c r="A102">
        <v>2018</v>
      </c>
      <c r="B102">
        <v>29</v>
      </c>
      <c r="C102" t="s">
        <v>137</v>
      </c>
      <c r="D102" s="10">
        <v>15925000</v>
      </c>
      <c r="E102" s="49">
        <f t="shared" si="1"/>
        <v>16.583400759422503</v>
      </c>
      <c r="F102">
        <v>17</v>
      </c>
      <c r="G102">
        <v>0</v>
      </c>
      <c r="H102" t="s">
        <v>134</v>
      </c>
      <c r="I102">
        <v>0</v>
      </c>
    </row>
    <row r="103" spans="1:9" x14ac:dyDescent="0.25">
      <c r="A103">
        <v>2018</v>
      </c>
      <c r="B103">
        <v>30</v>
      </c>
      <c r="C103" t="s">
        <v>140</v>
      </c>
      <c r="D103" s="10">
        <v>7613000</v>
      </c>
      <c r="E103" s="49">
        <f t="shared" si="1"/>
        <v>15.845367870288349</v>
      </c>
      <c r="F103">
        <v>28</v>
      </c>
      <c r="G103">
        <v>0</v>
      </c>
      <c r="H103" t="s">
        <v>136</v>
      </c>
      <c r="I103">
        <v>1</v>
      </c>
    </row>
    <row r="104" spans="1:9" x14ac:dyDescent="0.25">
      <c r="A104">
        <v>2018</v>
      </c>
      <c r="B104">
        <v>31</v>
      </c>
      <c r="C104" t="s">
        <v>143</v>
      </c>
      <c r="D104" s="10">
        <v>26205181</v>
      </c>
      <c r="E104" s="49">
        <f t="shared" si="1"/>
        <v>17.08146769727335</v>
      </c>
      <c r="F104">
        <v>36</v>
      </c>
      <c r="G104">
        <v>0</v>
      </c>
      <c r="H104" t="s">
        <v>51</v>
      </c>
      <c r="I104">
        <v>0</v>
      </c>
    </row>
    <row r="105" spans="1:9" x14ac:dyDescent="0.25">
      <c r="A105">
        <v>2018</v>
      </c>
      <c r="B105">
        <v>32</v>
      </c>
      <c r="C105" t="s">
        <v>146</v>
      </c>
      <c r="D105" s="10">
        <v>8192828.2299999995</v>
      </c>
      <c r="E105" s="49">
        <f t="shared" si="1"/>
        <v>15.918769723445855</v>
      </c>
      <c r="F105">
        <v>25</v>
      </c>
      <c r="G105">
        <v>0</v>
      </c>
      <c r="H105" t="s">
        <v>144</v>
      </c>
      <c r="I105">
        <v>1</v>
      </c>
    </row>
    <row r="106" spans="1:9" x14ac:dyDescent="0.25">
      <c r="A106">
        <v>2018</v>
      </c>
      <c r="B106">
        <v>33</v>
      </c>
      <c r="C106" t="s">
        <v>154</v>
      </c>
      <c r="D106" s="10">
        <v>947638.04999999993</v>
      </c>
      <c r="E106" s="49">
        <f t="shared" si="1"/>
        <v>13.761727904534062</v>
      </c>
      <c r="F106">
        <v>15</v>
      </c>
      <c r="G106">
        <v>0</v>
      </c>
      <c r="H106" t="s">
        <v>147</v>
      </c>
      <c r="I106">
        <v>0</v>
      </c>
    </row>
    <row r="107" spans="1:9" x14ac:dyDescent="0.25">
      <c r="A107">
        <v>2018</v>
      </c>
      <c r="B107">
        <v>34</v>
      </c>
      <c r="C107" t="s">
        <v>156</v>
      </c>
      <c r="D107" s="10">
        <v>1770720</v>
      </c>
      <c r="E107" s="49">
        <f t="shared" si="1"/>
        <v>14.386896801498612</v>
      </c>
      <c r="F107">
        <v>15</v>
      </c>
      <c r="G107">
        <v>0</v>
      </c>
      <c r="H107" t="s">
        <v>66</v>
      </c>
      <c r="I107">
        <v>0</v>
      </c>
    </row>
    <row r="108" spans="1:9" x14ac:dyDescent="0.25">
      <c r="A108">
        <v>2018</v>
      </c>
      <c r="B108">
        <v>35</v>
      </c>
      <c r="C108" t="s">
        <v>163</v>
      </c>
      <c r="D108" s="10">
        <v>5002565</v>
      </c>
      <c r="E108" s="49">
        <f t="shared" si="1"/>
        <v>15.42546133885886</v>
      </c>
      <c r="F108">
        <v>9</v>
      </c>
      <c r="G108">
        <v>0</v>
      </c>
      <c r="H108" t="s">
        <v>5</v>
      </c>
      <c r="I108">
        <v>1</v>
      </c>
    </row>
    <row r="109" spans="1:9" x14ac:dyDescent="0.25">
      <c r="A109">
        <v>2018</v>
      </c>
      <c r="B109">
        <v>36</v>
      </c>
      <c r="C109" t="s">
        <v>165</v>
      </c>
      <c r="D109" s="10">
        <v>10431914</v>
      </c>
      <c r="E109" s="49">
        <f t="shared" si="1"/>
        <v>16.160380319249558</v>
      </c>
      <c r="F109">
        <v>19</v>
      </c>
      <c r="G109">
        <v>0</v>
      </c>
      <c r="H109" t="s">
        <v>5</v>
      </c>
      <c r="I109">
        <v>1</v>
      </c>
    </row>
    <row r="110" spans="1:9" x14ac:dyDescent="0.25">
      <c r="A110">
        <v>2018</v>
      </c>
      <c r="B110">
        <v>37</v>
      </c>
      <c r="C110" t="s">
        <v>168</v>
      </c>
      <c r="D110" s="10">
        <v>50313064.340000004</v>
      </c>
      <c r="E110" s="49">
        <f t="shared" si="1"/>
        <v>17.733775329775803</v>
      </c>
      <c r="F110">
        <v>42</v>
      </c>
      <c r="G110">
        <v>0</v>
      </c>
      <c r="H110" t="s">
        <v>166</v>
      </c>
      <c r="I110">
        <v>1</v>
      </c>
    </row>
    <row r="111" spans="1:9" x14ac:dyDescent="0.25">
      <c r="A111">
        <v>2018</v>
      </c>
      <c r="B111">
        <v>38</v>
      </c>
      <c r="C111" t="s">
        <v>173</v>
      </c>
      <c r="D111" s="10">
        <v>2853935.17</v>
      </c>
      <c r="E111" s="49">
        <f t="shared" si="1"/>
        <v>14.864209361273883</v>
      </c>
      <c r="F111">
        <v>57</v>
      </c>
      <c r="G111">
        <v>0</v>
      </c>
      <c r="H111" t="s">
        <v>171</v>
      </c>
      <c r="I111">
        <v>1</v>
      </c>
    </row>
    <row r="112" spans="1:9" x14ac:dyDescent="0.25">
      <c r="A112">
        <v>2018</v>
      </c>
      <c r="B112">
        <v>39</v>
      </c>
      <c r="C112" t="s">
        <v>176</v>
      </c>
      <c r="D112" s="10">
        <v>188068000</v>
      </c>
      <c r="E112" s="49">
        <f t="shared" si="1"/>
        <v>19.052314157523437</v>
      </c>
      <c r="F112">
        <v>28</v>
      </c>
      <c r="G112">
        <v>0</v>
      </c>
      <c r="H112" t="s">
        <v>171</v>
      </c>
      <c r="I112">
        <v>1</v>
      </c>
    </row>
    <row r="113" spans="1:9" x14ac:dyDescent="0.25">
      <c r="A113">
        <v>2018</v>
      </c>
      <c r="B113">
        <v>40</v>
      </c>
      <c r="C113" t="s">
        <v>180</v>
      </c>
      <c r="D113" s="10">
        <v>84392183</v>
      </c>
      <c r="E113" s="49">
        <f t="shared" si="1"/>
        <v>18.250985336793416</v>
      </c>
      <c r="F113">
        <v>73</v>
      </c>
      <c r="G113">
        <v>0</v>
      </c>
      <c r="H113" t="s">
        <v>17</v>
      </c>
      <c r="I113">
        <v>1</v>
      </c>
    </row>
    <row r="114" spans="1:9" x14ac:dyDescent="0.25">
      <c r="A114">
        <v>2018</v>
      </c>
      <c r="B114">
        <v>41</v>
      </c>
      <c r="C114" t="s">
        <v>183</v>
      </c>
      <c r="D114" s="10">
        <v>7582666</v>
      </c>
      <c r="E114" s="49">
        <f t="shared" si="1"/>
        <v>15.841375410820897</v>
      </c>
      <c r="F114">
        <v>40</v>
      </c>
      <c r="G114">
        <v>0</v>
      </c>
      <c r="H114" t="s">
        <v>181</v>
      </c>
      <c r="I114">
        <v>1</v>
      </c>
    </row>
    <row r="115" spans="1:9" x14ac:dyDescent="0.25">
      <c r="A115">
        <v>2018</v>
      </c>
      <c r="B115">
        <v>42</v>
      </c>
      <c r="C115" t="s">
        <v>187</v>
      </c>
      <c r="D115" s="10">
        <v>139438000</v>
      </c>
      <c r="E115" s="49">
        <f t="shared" si="1"/>
        <v>18.753130615986546</v>
      </c>
      <c r="F115">
        <v>23</v>
      </c>
      <c r="G115">
        <v>0</v>
      </c>
      <c r="H115" t="s">
        <v>185</v>
      </c>
      <c r="I115">
        <v>1</v>
      </c>
    </row>
    <row r="116" spans="1:9" x14ac:dyDescent="0.25">
      <c r="A116">
        <v>2018</v>
      </c>
      <c r="B116">
        <v>43</v>
      </c>
      <c r="C116" t="s">
        <v>190</v>
      </c>
      <c r="D116" s="10">
        <v>49672000</v>
      </c>
      <c r="E116" s="49">
        <f t="shared" si="1"/>
        <v>17.720951952026866</v>
      </c>
      <c r="F116">
        <v>29</v>
      </c>
      <c r="G116">
        <v>0</v>
      </c>
      <c r="H116" t="s">
        <v>5</v>
      </c>
      <c r="I116">
        <v>1</v>
      </c>
    </row>
    <row r="117" spans="1:9" x14ac:dyDescent="0.25">
      <c r="A117">
        <v>2018</v>
      </c>
      <c r="B117">
        <v>44</v>
      </c>
      <c r="C117" t="s">
        <v>194</v>
      </c>
      <c r="D117" s="10">
        <v>187478.26</v>
      </c>
      <c r="E117" s="49">
        <f t="shared" si="1"/>
        <v>12.141418171003602</v>
      </c>
      <c r="F117">
        <v>24</v>
      </c>
      <c r="G117">
        <v>0</v>
      </c>
      <c r="H117" t="s">
        <v>192</v>
      </c>
      <c r="I117">
        <v>0</v>
      </c>
    </row>
    <row r="118" spans="1:9" x14ac:dyDescent="0.25">
      <c r="A118">
        <v>2018</v>
      </c>
      <c r="B118">
        <v>45</v>
      </c>
      <c r="C118" t="s">
        <v>197</v>
      </c>
      <c r="D118" s="10">
        <v>9131200</v>
      </c>
      <c r="E118" s="49">
        <f t="shared" si="1"/>
        <v>16.027207678764579</v>
      </c>
      <c r="F118">
        <v>35</v>
      </c>
      <c r="G118">
        <v>1</v>
      </c>
      <c r="H118" t="s">
        <v>195</v>
      </c>
      <c r="I118">
        <v>0</v>
      </c>
    </row>
    <row r="119" spans="1:9" x14ac:dyDescent="0.25">
      <c r="A119">
        <v>2018</v>
      </c>
      <c r="B119">
        <v>46</v>
      </c>
      <c r="C119" t="s">
        <v>202</v>
      </c>
      <c r="D119" s="10">
        <v>17741896</v>
      </c>
      <c r="E119" s="49">
        <f t="shared" si="1"/>
        <v>16.691439406248623</v>
      </c>
      <c r="F119">
        <v>22</v>
      </c>
      <c r="G119">
        <v>1</v>
      </c>
      <c r="H119" t="s">
        <v>5</v>
      </c>
      <c r="I119">
        <v>1</v>
      </c>
    </row>
    <row r="120" spans="1:9" x14ac:dyDescent="0.25">
      <c r="A120">
        <v>2018</v>
      </c>
      <c r="B120">
        <v>47</v>
      </c>
      <c r="C120" t="s">
        <v>205</v>
      </c>
      <c r="D120" s="10">
        <v>31225000</v>
      </c>
      <c r="E120" s="49">
        <f t="shared" si="1"/>
        <v>17.256729613975917</v>
      </c>
      <c r="F120">
        <v>74</v>
      </c>
      <c r="G120">
        <v>1</v>
      </c>
      <c r="H120" t="s">
        <v>5</v>
      </c>
      <c r="I120">
        <v>1</v>
      </c>
    </row>
    <row r="121" spans="1:9" x14ac:dyDescent="0.25">
      <c r="A121">
        <v>2018</v>
      </c>
      <c r="B121">
        <v>48</v>
      </c>
      <c r="C121" t="s">
        <v>208</v>
      </c>
      <c r="D121" s="10">
        <v>31881810</v>
      </c>
      <c r="E121" s="49">
        <f t="shared" si="1"/>
        <v>17.277546185682404</v>
      </c>
      <c r="F121">
        <v>12</v>
      </c>
      <c r="G121">
        <v>1</v>
      </c>
      <c r="H121" t="s">
        <v>147</v>
      </c>
      <c r="I121">
        <v>0</v>
      </c>
    </row>
    <row r="122" spans="1:9" x14ac:dyDescent="0.25">
      <c r="A122">
        <v>2018</v>
      </c>
      <c r="B122">
        <v>49</v>
      </c>
      <c r="C122" t="s">
        <v>217</v>
      </c>
      <c r="D122" s="10">
        <v>24738000</v>
      </c>
      <c r="E122" s="49">
        <f t="shared" si="1"/>
        <v>17.02385108091709</v>
      </c>
      <c r="F122">
        <v>30</v>
      </c>
      <c r="G122">
        <v>1</v>
      </c>
      <c r="H122" t="s">
        <v>5</v>
      </c>
      <c r="I122">
        <v>1</v>
      </c>
    </row>
    <row r="123" spans="1:9" x14ac:dyDescent="0.25">
      <c r="A123">
        <v>2018</v>
      </c>
      <c r="B123">
        <v>50</v>
      </c>
      <c r="C123" t="s">
        <v>222</v>
      </c>
      <c r="D123" s="10">
        <v>5847772</v>
      </c>
      <c r="E123" s="49">
        <f t="shared" si="1"/>
        <v>15.581571291963613</v>
      </c>
      <c r="F123">
        <v>54</v>
      </c>
      <c r="G123">
        <v>0</v>
      </c>
      <c r="H123" t="s">
        <v>17</v>
      </c>
      <c r="I123">
        <v>1</v>
      </c>
    </row>
    <row r="124" spans="1:9" x14ac:dyDescent="0.25">
      <c r="A124">
        <v>2018</v>
      </c>
      <c r="B124">
        <v>51</v>
      </c>
      <c r="C124" t="s">
        <v>225</v>
      </c>
      <c r="D124" s="10">
        <v>9193000</v>
      </c>
      <c r="E124" s="49">
        <f t="shared" si="1"/>
        <v>16.033952882845892</v>
      </c>
      <c r="F124">
        <v>31</v>
      </c>
      <c r="G124">
        <v>0</v>
      </c>
      <c r="H124" t="s">
        <v>223</v>
      </c>
      <c r="I124">
        <v>0</v>
      </c>
    </row>
    <row r="125" spans="1:9" x14ac:dyDescent="0.25">
      <c r="A125">
        <v>2018</v>
      </c>
      <c r="B125">
        <v>52</v>
      </c>
      <c r="C125" t="s">
        <v>405</v>
      </c>
      <c r="D125" s="10">
        <v>23966053</v>
      </c>
      <c r="E125" s="49">
        <f t="shared" si="1"/>
        <v>16.992148928688398</v>
      </c>
      <c r="F125">
        <v>12</v>
      </c>
      <c r="G125">
        <v>0</v>
      </c>
      <c r="H125" t="s">
        <v>5</v>
      </c>
      <c r="I125">
        <v>1</v>
      </c>
    </row>
    <row r="126" spans="1:9" x14ac:dyDescent="0.25">
      <c r="A126">
        <v>2018</v>
      </c>
      <c r="B126">
        <v>53</v>
      </c>
      <c r="C126" t="s">
        <v>233</v>
      </c>
      <c r="D126" s="10">
        <v>8380595.3200000003</v>
      </c>
      <c r="E126" s="49">
        <f t="shared" si="1"/>
        <v>15.941429510507795</v>
      </c>
      <c r="F126">
        <v>33</v>
      </c>
      <c r="G126">
        <v>0</v>
      </c>
      <c r="H126" t="s">
        <v>5</v>
      </c>
      <c r="I126">
        <v>1</v>
      </c>
    </row>
    <row r="127" spans="1:9" x14ac:dyDescent="0.25">
      <c r="A127">
        <v>2018</v>
      </c>
      <c r="B127">
        <v>54</v>
      </c>
      <c r="C127" t="s">
        <v>237</v>
      </c>
      <c r="D127" s="10">
        <v>5406639</v>
      </c>
      <c r="E127" s="49">
        <f t="shared" si="1"/>
        <v>15.503138200831005</v>
      </c>
      <c r="F127">
        <v>26</v>
      </c>
      <c r="G127">
        <v>0</v>
      </c>
      <c r="H127" t="s">
        <v>5</v>
      </c>
      <c r="I127">
        <v>1</v>
      </c>
    </row>
    <row r="128" spans="1:9" x14ac:dyDescent="0.25">
      <c r="A128">
        <v>2018</v>
      </c>
      <c r="B128">
        <v>55</v>
      </c>
      <c r="C128" t="s">
        <v>244</v>
      </c>
      <c r="D128" s="10">
        <v>7352692.79</v>
      </c>
      <c r="E128" s="49">
        <f t="shared" si="1"/>
        <v>15.810577170079783</v>
      </c>
      <c r="F128">
        <v>25</v>
      </c>
      <c r="G128">
        <v>0</v>
      </c>
      <c r="H128" t="s">
        <v>239</v>
      </c>
      <c r="I128">
        <v>0</v>
      </c>
    </row>
    <row r="129" spans="1:9" x14ac:dyDescent="0.25">
      <c r="A129">
        <v>2018</v>
      </c>
      <c r="B129">
        <v>56</v>
      </c>
      <c r="C129" t="s">
        <v>248</v>
      </c>
      <c r="D129" s="10">
        <v>4634026</v>
      </c>
      <c r="E129" s="49">
        <f t="shared" si="1"/>
        <v>15.348936594662215</v>
      </c>
      <c r="F129">
        <v>71</v>
      </c>
      <c r="G129">
        <v>0</v>
      </c>
      <c r="H129" t="s">
        <v>245</v>
      </c>
      <c r="I129">
        <v>0</v>
      </c>
    </row>
    <row r="130" spans="1:9" x14ac:dyDescent="0.25">
      <c r="A130">
        <v>2018</v>
      </c>
      <c r="B130">
        <v>57</v>
      </c>
      <c r="C130" t="s">
        <v>251</v>
      </c>
      <c r="D130" s="10">
        <v>2899630</v>
      </c>
      <c r="E130" s="49">
        <f t="shared" si="1"/>
        <v>14.880093700609994</v>
      </c>
      <c r="F130">
        <v>19</v>
      </c>
      <c r="G130">
        <v>0</v>
      </c>
      <c r="H130" t="s">
        <v>5</v>
      </c>
      <c r="I130">
        <v>1</v>
      </c>
    </row>
    <row r="131" spans="1:9" x14ac:dyDescent="0.25">
      <c r="A131">
        <v>2018</v>
      </c>
      <c r="B131">
        <v>58</v>
      </c>
      <c r="C131" t="s">
        <v>255</v>
      </c>
      <c r="D131" s="10">
        <v>17576746.920000002</v>
      </c>
      <c r="E131" s="49">
        <f t="shared" ref="E131:E194" si="2">LN(D131)</f>
        <v>16.682087388729883</v>
      </c>
      <c r="F131">
        <v>32</v>
      </c>
      <c r="G131">
        <v>0</v>
      </c>
      <c r="H131" t="s">
        <v>253</v>
      </c>
      <c r="I131">
        <v>0</v>
      </c>
    </row>
    <row r="132" spans="1:9" x14ac:dyDescent="0.25">
      <c r="A132">
        <v>2018</v>
      </c>
      <c r="B132">
        <v>59</v>
      </c>
      <c r="C132" t="s">
        <v>258</v>
      </c>
      <c r="D132" s="10">
        <v>14266344</v>
      </c>
      <c r="E132" s="49">
        <f t="shared" si="2"/>
        <v>16.473413754805723</v>
      </c>
      <c r="F132">
        <v>78</v>
      </c>
      <c r="G132">
        <v>0</v>
      </c>
      <c r="H132" t="s">
        <v>5</v>
      </c>
      <c r="I132">
        <v>1</v>
      </c>
    </row>
    <row r="133" spans="1:9" x14ac:dyDescent="0.25">
      <c r="A133">
        <v>2018</v>
      </c>
      <c r="B133">
        <v>60</v>
      </c>
      <c r="C133" t="s">
        <v>261</v>
      </c>
      <c r="D133" s="10">
        <v>10286737</v>
      </c>
      <c r="E133" s="49">
        <f t="shared" si="2"/>
        <v>16.146365953537682</v>
      </c>
      <c r="F133">
        <v>22</v>
      </c>
      <c r="G133">
        <v>0</v>
      </c>
      <c r="H133" t="s">
        <v>5</v>
      </c>
      <c r="I133">
        <v>1</v>
      </c>
    </row>
    <row r="134" spans="1:9" x14ac:dyDescent="0.25">
      <c r="A134">
        <v>2018</v>
      </c>
      <c r="B134">
        <v>61</v>
      </c>
      <c r="C134" t="s">
        <v>264</v>
      </c>
      <c r="D134" s="10">
        <v>6108141</v>
      </c>
      <c r="E134" s="49">
        <f t="shared" si="2"/>
        <v>15.62513302953359</v>
      </c>
      <c r="F134">
        <v>56</v>
      </c>
      <c r="G134">
        <v>0</v>
      </c>
      <c r="H134" t="s">
        <v>17</v>
      </c>
      <c r="I134">
        <v>1</v>
      </c>
    </row>
    <row r="135" spans="1:9" x14ac:dyDescent="0.25">
      <c r="A135">
        <v>2018</v>
      </c>
      <c r="B135">
        <v>62</v>
      </c>
      <c r="C135" t="s">
        <v>270</v>
      </c>
      <c r="D135" s="10">
        <v>1352720</v>
      </c>
      <c r="E135" s="49">
        <f t="shared" si="2"/>
        <v>14.11762793821231</v>
      </c>
      <c r="F135">
        <v>20</v>
      </c>
      <c r="G135">
        <v>0</v>
      </c>
      <c r="H135" t="s">
        <v>35</v>
      </c>
      <c r="I135">
        <v>1</v>
      </c>
    </row>
    <row r="136" spans="1:9" x14ac:dyDescent="0.25">
      <c r="A136">
        <v>2018</v>
      </c>
      <c r="B136">
        <v>63</v>
      </c>
      <c r="C136" t="s">
        <v>406</v>
      </c>
      <c r="D136" s="10">
        <v>27197730</v>
      </c>
      <c r="E136" s="49">
        <f t="shared" si="2"/>
        <v>17.118644071901237</v>
      </c>
      <c r="F136">
        <v>21</v>
      </c>
      <c r="G136">
        <v>0</v>
      </c>
      <c r="H136" t="s">
        <v>5</v>
      </c>
      <c r="I136">
        <v>1</v>
      </c>
    </row>
    <row r="137" spans="1:9" x14ac:dyDescent="0.25">
      <c r="A137">
        <v>2018</v>
      </c>
      <c r="B137">
        <v>64</v>
      </c>
      <c r="C137" t="s">
        <v>281</v>
      </c>
      <c r="D137" s="10">
        <v>31262883.369999997</v>
      </c>
      <c r="E137" s="49">
        <f t="shared" si="2"/>
        <v>17.25794211702765</v>
      </c>
      <c r="F137">
        <v>28</v>
      </c>
      <c r="G137">
        <v>0</v>
      </c>
      <c r="H137" t="s">
        <v>273</v>
      </c>
      <c r="I137">
        <v>0</v>
      </c>
    </row>
    <row r="138" spans="1:9" x14ac:dyDescent="0.25">
      <c r="A138">
        <v>2018</v>
      </c>
      <c r="B138">
        <v>65</v>
      </c>
      <c r="C138" t="s">
        <v>289</v>
      </c>
      <c r="D138" s="10">
        <v>9260805</v>
      </c>
      <c r="E138" s="49">
        <f t="shared" si="2"/>
        <v>16.041301535889261</v>
      </c>
      <c r="F138">
        <v>44</v>
      </c>
      <c r="G138">
        <v>0</v>
      </c>
      <c r="H138" t="s">
        <v>17</v>
      </c>
      <c r="I138">
        <v>1</v>
      </c>
    </row>
    <row r="139" spans="1:9" x14ac:dyDescent="0.25">
      <c r="A139">
        <v>2018</v>
      </c>
      <c r="B139">
        <v>66</v>
      </c>
      <c r="C139" t="s">
        <v>295</v>
      </c>
      <c r="D139" s="10">
        <v>19205708.149999999</v>
      </c>
      <c r="E139" s="49">
        <f t="shared" si="2"/>
        <v>16.770718092292444</v>
      </c>
      <c r="F139">
        <v>18</v>
      </c>
      <c r="G139">
        <v>0</v>
      </c>
      <c r="H139" t="s">
        <v>5</v>
      </c>
      <c r="I139">
        <v>1</v>
      </c>
    </row>
    <row r="140" spans="1:9" x14ac:dyDescent="0.25">
      <c r="A140">
        <v>2018</v>
      </c>
      <c r="B140">
        <v>67</v>
      </c>
      <c r="C140" t="s">
        <v>300</v>
      </c>
      <c r="D140" s="10">
        <v>43725247</v>
      </c>
      <c r="E140" s="49">
        <f t="shared" si="2"/>
        <v>17.593436227795237</v>
      </c>
      <c r="F140">
        <v>51</v>
      </c>
      <c r="G140">
        <v>0</v>
      </c>
      <c r="H140" t="s">
        <v>297</v>
      </c>
      <c r="I140">
        <v>0</v>
      </c>
    </row>
    <row r="141" spans="1:9" x14ac:dyDescent="0.25">
      <c r="A141">
        <v>2018</v>
      </c>
      <c r="B141">
        <v>68</v>
      </c>
      <c r="C141" t="s">
        <v>304</v>
      </c>
      <c r="D141" s="10">
        <v>54480278</v>
      </c>
      <c r="E141" s="49">
        <f t="shared" si="2"/>
        <v>17.813349322582525</v>
      </c>
      <c r="F141">
        <v>18</v>
      </c>
      <c r="G141">
        <v>0</v>
      </c>
      <c r="H141" t="s">
        <v>5</v>
      </c>
      <c r="I141">
        <v>1</v>
      </c>
    </row>
    <row r="142" spans="1:9" x14ac:dyDescent="0.25">
      <c r="A142">
        <v>2018</v>
      </c>
      <c r="B142">
        <v>69</v>
      </c>
      <c r="C142" t="s">
        <v>308</v>
      </c>
      <c r="D142" s="10">
        <v>1606188.17</v>
      </c>
      <c r="E142" s="49">
        <f t="shared" si="2"/>
        <v>14.289374333499564</v>
      </c>
      <c r="F142">
        <v>53</v>
      </c>
      <c r="G142">
        <v>0</v>
      </c>
      <c r="H142" t="s">
        <v>5</v>
      </c>
      <c r="I142">
        <v>1</v>
      </c>
    </row>
    <row r="143" spans="1:9" x14ac:dyDescent="0.25">
      <c r="A143">
        <v>2018</v>
      </c>
      <c r="B143">
        <v>70</v>
      </c>
      <c r="C143" t="s">
        <v>311</v>
      </c>
      <c r="D143" s="10">
        <v>16314000</v>
      </c>
      <c r="E143" s="49">
        <f t="shared" si="2"/>
        <v>16.607534192842664</v>
      </c>
      <c r="F143">
        <v>10</v>
      </c>
      <c r="G143">
        <v>0</v>
      </c>
      <c r="H143" t="s">
        <v>51</v>
      </c>
      <c r="I143">
        <v>0</v>
      </c>
    </row>
    <row r="144" spans="1:9" x14ac:dyDescent="0.25">
      <c r="A144">
        <v>2018</v>
      </c>
      <c r="B144">
        <v>71</v>
      </c>
      <c r="C144" t="s">
        <v>407</v>
      </c>
      <c r="D144" s="10">
        <v>10730488.459999999</v>
      </c>
      <c r="E144" s="49">
        <f t="shared" si="2"/>
        <v>16.188599636403925</v>
      </c>
      <c r="F144">
        <v>53</v>
      </c>
      <c r="G144">
        <v>0</v>
      </c>
      <c r="H144" t="s">
        <v>5</v>
      </c>
      <c r="I144">
        <v>1</v>
      </c>
    </row>
    <row r="145" spans="1:9" x14ac:dyDescent="0.25">
      <c r="A145">
        <v>2018</v>
      </c>
      <c r="B145">
        <v>72</v>
      </c>
      <c r="C145" t="s">
        <v>408</v>
      </c>
      <c r="D145" s="10">
        <v>3076184</v>
      </c>
      <c r="E145" s="49">
        <f t="shared" si="2"/>
        <v>14.939200425764033</v>
      </c>
      <c r="F145">
        <v>34</v>
      </c>
      <c r="G145">
        <v>0</v>
      </c>
      <c r="H145" t="s">
        <v>192</v>
      </c>
      <c r="I145">
        <v>0</v>
      </c>
    </row>
    <row r="146" spans="1:9" x14ac:dyDescent="0.25">
      <c r="A146">
        <v>2019</v>
      </c>
      <c r="B146">
        <v>1</v>
      </c>
      <c r="C146" t="s">
        <v>6</v>
      </c>
      <c r="D146" s="10">
        <v>27932913</v>
      </c>
      <c r="E146" s="49">
        <f t="shared" si="2"/>
        <v>17.145316228938288</v>
      </c>
      <c r="F146">
        <v>60</v>
      </c>
      <c r="G146">
        <v>0</v>
      </c>
      <c r="H146" t="s">
        <v>8</v>
      </c>
      <c r="I146">
        <v>1</v>
      </c>
    </row>
    <row r="147" spans="1:9" x14ac:dyDescent="0.25">
      <c r="A147">
        <v>2019</v>
      </c>
      <c r="B147">
        <v>2</v>
      </c>
      <c r="C147" t="s">
        <v>14</v>
      </c>
      <c r="D147" s="10">
        <v>67038258</v>
      </c>
      <c r="E147" s="49">
        <f t="shared" si="2"/>
        <v>18.020774029313625</v>
      </c>
      <c r="F147">
        <v>44</v>
      </c>
      <c r="G147">
        <v>0</v>
      </c>
      <c r="H147" t="s">
        <v>17</v>
      </c>
      <c r="I147">
        <v>1</v>
      </c>
    </row>
    <row r="148" spans="1:9" x14ac:dyDescent="0.25">
      <c r="A148">
        <v>2019</v>
      </c>
      <c r="B148">
        <v>3</v>
      </c>
      <c r="C148" t="s">
        <v>25</v>
      </c>
      <c r="D148" s="10">
        <v>2943018</v>
      </c>
      <c r="E148" s="49">
        <f t="shared" si="2"/>
        <v>14.894946143404857</v>
      </c>
      <c r="F148">
        <v>17</v>
      </c>
      <c r="G148">
        <v>0</v>
      </c>
      <c r="H148" t="s">
        <v>5</v>
      </c>
      <c r="I148">
        <v>1</v>
      </c>
    </row>
    <row r="149" spans="1:9" x14ac:dyDescent="0.25">
      <c r="A149">
        <v>2019</v>
      </c>
      <c r="B149">
        <v>4</v>
      </c>
      <c r="C149" t="s">
        <v>27</v>
      </c>
      <c r="D149" s="10">
        <v>21217</v>
      </c>
      <c r="E149" s="49">
        <f t="shared" si="2"/>
        <v>9.9625580261131166</v>
      </c>
      <c r="F149">
        <v>33</v>
      </c>
      <c r="G149">
        <v>1</v>
      </c>
      <c r="H149" t="s">
        <v>5</v>
      </c>
      <c r="I149">
        <v>1</v>
      </c>
    </row>
    <row r="150" spans="1:9" x14ac:dyDescent="0.25">
      <c r="A150">
        <v>2019</v>
      </c>
      <c r="B150">
        <v>5</v>
      </c>
      <c r="C150" t="s">
        <v>29</v>
      </c>
      <c r="D150" s="10">
        <v>2004589.11</v>
      </c>
      <c r="E150" s="49">
        <f t="shared" si="2"/>
        <v>14.510949665052909</v>
      </c>
      <c r="F150">
        <v>14</v>
      </c>
      <c r="G150">
        <v>0</v>
      </c>
      <c r="H150" t="s">
        <v>30</v>
      </c>
      <c r="I150">
        <v>0</v>
      </c>
    </row>
    <row r="151" spans="1:9" x14ac:dyDescent="0.25">
      <c r="A151">
        <v>2019</v>
      </c>
      <c r="B151">
        <v>6</v>
      </c>
      <c r="C151" t="s">
        <v>32</v>
      </c>
      <c r="D151" s="10">
        <v>3949461</v>
      </c>
      <c r="E151" s="49">
        <f t="shared" si="2"/>
        <v>15.189089671870176</v>
      </c>
      <c r="F151">
        <v>11</v>
      </c>
      <c r="G151">
        <v>0</v>
      </c>
      <c r="H151" t="s">
        <v>5</v>
      </c>
      <c r="I151">
        <v>1</v>
      </c>
    </row>
    <row r="152" spans="1:9" x14ac:dyDescent="0.25">
      <c r="A152">
        <v>2019</v>
      </c>
      <c r="B152">
        <v>7</v>
      </c>
      <c r="C152" t="s">
        <v>34</v>
      </c>
      <c r="D152" s="10">
        <v>8007000</v>
      </c>
      <c r="E152" s="49">
        <f t="shared" si="2"/>
        <v>15.895826717054771</v>
      </c>
      <c r="F152">
        <v>48</v>
      </c>
      <c r="G152">
        <v>0</v>
      </c>
      <c r="H152" t="s">
        <v>35</v>
      </c>
      <c r="I152">
        <v>1</v>
      </c>
    </row>
    <row r="153" spans="1:9" x14ac:dyDescent="0.25">
      <c r="A153">
        <v>2019</v>
      </c>
      <c r="B153">
        <v>8</v>
      </c>
      <c r="C153" t="s">
        <v>37</v>
      </c>
      <c r="D153" s="10">
        <v>531342333</v>
      </c>
      <c r="E153" s="49">
        <f t="shared" si="2"/>
        <v>20.090917066394976</v>
      </c>
      <c r="F153">
        <v>120</v>
      </c>
      <c r="G153">
        <v>0</v>
      </c>
      <c r="H153" t="s">
        <v>17</v>
      </c>
      <c r="I153">
        <v>1</v>
      </c>
    </row>
    <row r="154" spans="1:9" x14ac:dyDescent="0.25">
      <c r="A154">
        <v>2019</v>
      </c>
      <c r="B154">
        <v>9</v>
      </c>
      <c r="C154" t="s">
        <v>41</v>
      </c>
      <c r="D154" s="10">
        <v>1145744.24</v>
      </c>
      <c r="E154" s="49">
        <f t="shared" si="2"/>
        <v>13.951564975084024</v>
      </c>
      <c r="F154">
        <v>20</v>
      </c>
      <c r="G154">
        <v>0</v>
      </c>
      <c r="H154" t="s">
        <v>42</v>
      </c>
      <c r="I154">
        <v>1</v>
      </c>
    </row>
    <row r="155" spans="1:9" x14ac:dyDescent="0.25">
      <c r="A155">
        <v>2019</v>
      </c>
      <c r="B155">
        <v>10</v>
      </c>
      <c r="C155" t="s">
        <v>44</v>
      </c>
      <c r="D155" s="10">
        <v>40897745.600000001</v>
      </c>
      <c r="E155" s="49">
        <f t="shared" si="2"/>
        <v>17.526585499689478</v>
      </c>
      <c r="F155">
        <v>17</v>
      </c>
      <c r="G155">
        <v>0</v>
      </c>
      <c r="H155" t="s">
        <v>17</v>
      </c>
      <c r="I155">
        <v>1</v>
      </c>
    </row>
    <row r="156" spans="1:9" x14ac:dyDescent="0.25">
      <c r="A156">
        <v>2019</v>
      </c>
      <c r="B156">
        <v>11</v>
      </c>
      <c r="C156" t="s">
        <v>47</v>
      </c>
      <c r="D156" s="10">
        <v>18602942</v>
      </c>
      <c r="E156" s="49">
        <f t="shared" si="2"/>
        <v>16.738830298218563</v>
      </c>
      <c r="F156">
        <v>24</v>
      </c>
      <c r="G156">
        <v>0</v>
      </c>
      <c r="H156" t="s">
        <v>327</v>
      </c>
      <c r="I156">
        <v>1</v>
      </c>
    </row>
    <row r="157" spans="1:9" x14ac:dyDescent="0.25">
      <c r="A157">
        <v>2019</v>
      </c>
      <c r="B157">
        <v>12</v>
      </c>
      <c r="C157" t="s">
        <v>49</v>
      </c>
      <c r="D157" s="10">
        <v>24466398</v>
      </c>
      <c r="E157" s="49">
        <f t="shared" si="2"/>
        <v>17.012811223929912</v>
      </c>
      <c r="F157">
        <v>22</v>
      </c>
      <c r="G157">
        <v>0</v>
      </c>
      <c r="H157" t="s">
        <v>48</v>
      </c>
      <c r="I157">
        <v>0</v>
      </c>
    </row>
    <row r="158" spans="1:9" x14ac:dyDescent="0.25">
      <c r="A158">
        <v>2019</v>
      </c>
      <c r="B158">
        <v>13</v>
      </c>
      <c r="C158" t="s">
        <v>55</v>
      </c>
      <c r="D158" s="10">
        <v>3297965</v>
      </c>
      <c r="E158" s="49">
        <f t="shared" si="2"/>
        <v>15.008816169552949</v>
      </c>
      <c r="F158">
        <v>54</v>
      </c>
      <c r="G158">
        <v>0</v>
      </c>
      <c r="H158" t="s">
        <v>51</v>
      </c>
      <c r="I158">
        <v>0</v>
      </c>
    </row>
    <row r="159" spans="1:9" x14ac:dyDescent="0.25">
      <c r="A159">
        <v>2019</v>
      </c>
      <c r="B159">
        <v>14</v>
      </c>
      <c r="C159" t="s">
        <v>58</v>
      </c>
      <c r="D159" s="10">
        <v>3916567</v>
      </c>
      <c r="E159" s="49">
        <f t="shared" si="2"/>
        <v>15.180726062754045</v>
      </c>
      <c r="F159">
        <v>13</v>
      </c>
      <c r="G159">
        <v>0</v>
      </c>
      <c r="H159" t="s">
        <v>5</v>
      </c>
      <c r="I159">
        <v>1</v>
      </c>
    </row>
    <row r="160" spans="1:9" x14ac:dyDescent="0.25">
      <c r="A160">
        <v>2019</v>
      </c>
      <c r="B160">
        <v>15</v>
      </c>
      <c r="C160" t="s">
        <v>404</v>
      </c>
      <c r="D160" s="10">
        <v>9265069.7699999996</v>
      </c>
      <c r="E160" s="49">
        <f t="shared" si="2"/>
        <v>16.041761948164339</v>
      </c>
      <c r="F160">
        <v>22</v>
      </c>
      <c r="G160">
        <v>0</v>
      </c>
      <c r="H160" t="s">
        <v>30</v>
      </c>
      <c r="I160">
        <v>0</v>
      </c>
    </row>
    <row r="161" spans="1:9" x14ac:dyDescent="0.25">
      <c r="A161">
        <v>2019</v>
      </c>
      <c r="B161">
        <v>16</v>
      </c>
      <c r="C161" t="s">
        <v>70</v>
      </c>
      <c r="D161" s="10">
        <v>44285527</v>
      </c>
      <c r="E161" s="49">
        <f t="shared" si="2"/>
        <v>17.606168477346952</v>
      </c>
      <c r="F161">
        <v>46</v>
      </c>
      <c r="G161">
        <v>0</v>
      </c>
      <c r="H161" t="s">
        <v>66</v>
      </c>
      <c r="I161">
        <v>0</v>
      </c>
    </row>
    <row r="162" spans="1:9" x14ac:dyDescent="0.25">
      <c r="A162">
        <v>2019</v>
      </c>
      <c r="B162">
        <v>17</v>
      </c>
      <c r="C162" t="s">
        <v>87</v>
      </c>
      <c r="D162" s="10">
        <v>10298000</v>
      </c>
      <c r="E162" s="49">
        <f t="shared" si="2"/>
        <v>16.147460259588225</v>
      </c>
      <c r="F162">
        <v>25</v>
      </c>
      <c r="G162">
        <v>0</v>
      </c>
      <c r="H162" t="s">
        <v>5</v>
      </c>
      <c r="I162">
        <v>1</v>
      </c>
    </row>
    <row r="163" spans="1:9" x14ac:dyDescent="0.25">
      <c r="A163">
        <v>2019</v>
      </c>
      <c r="B163">
        <v>18</v>
      </c>
      <c r="C163" t="s">
        <v>88</v>
      </c>
      <c r="D163" s="10">
        <v>3392407</v>
      </c>
      <c r="E163" s="49">
        <f t="shared" si="2"/>
        <v>15.037050256903468</v>
      </c>
      <c r="F163">
        <v>25</v>
      </c>
      <c r="G163">
        <v>0</v>
      </c>
      <c r="H163" t="s">
        <v>35</v>
      </c>
      <c r="I163">
        <v>1</v>
      </c>
    </row>
    <row r="164" spans="1:9" x14ac:dyDescent="0.25">
      <c r="A164">
        <v>2019</v>
      </c>
      <c r="B164">
        <v>19</v>
      </c>
      <c r="C164" t="s">
        <v>91</v>
      </c>
      <c r="D164" s="10">
        <v>6315981.9900000002</v>
      </c>
      <c r="E164" s="49">
        <f t="shared" si="2"/>
        <v>15.658593802865321</v>
      </c>
      <c r="F164">
        <v>24</v>
      </c>
      <c r="G164">
        <v>0</v>
      </c>
      <c r="H164" t="s">
        <v>5</v>
      </c>
      <c r="I164">
        <v>1</v>
      </c>
    </row>
    <row r="165" spans="1:9" x14ac:dyDescent="0.25">
      <c r="A165">
        <v>2019</v>
      </c>
      <c r="B165">
        <v>20</v>
      </c>
      <c r="C165" t="s">
        <v>97</v>
      </c>
      <c r="D165" s="10">
        <v>1627289.97</v>
      </c>
      <c r="E165" s="49">
        <f t="shared" si="2"/>
        <v>14.30242659404586</v>
      </c>
      <c r="F165">
        <v>16</v>
      </c>
      <c r="G165">
        <v>0</v>
      </c>
      <c r="H165" t="s">
        <v>35</v>
      </c>
      <c r="I165">
        <v>1</v>
      </c>
    </row>
    <row r="166" spans="1:9" x14ac:dyDescent="0.25">
      <c r="A166">
        <v>2019</v>
      </c>
      <c r="B166">
        <v>21</v>
      </c>
      <c r="C166" t="s">
        <v>100</v>
      </c>
      <c r="D166" s="10">
        <v>3836601</v>
      </c>
      <c r="E166" s="49">
        <f t="shared" si="2"/>
        <v>15.160097376331789</v>
      </c>
      <c r="F166">
        <v>5</v>
      </c>
      <c r="G166">
        <v>0</v>
      </c>
      <c r="H166" t="s">
        <v>5</v>
      </c>
      <c r="I166">
        <v>1</v>
      </c>
    </row>
    <row r="167" spans="1:9" x14ac:dyDescent="0.25">
      <c r="A167">
        <v>2019</v>
      </c>
      <c r="B167">
        <v>22</v>
      </c>
      <c r="C167" t="s">
        <v>103</v>
      </c>
      <c r="D167" s="10">
        <v>1406539.54</v>
      </c>
      <c r="E167" s="49">
        <f t="shared" si="2"/>
        <v>14.156643018852488</v>
      </c>
      <c r="F167">
        <v>20</v>
      </c>
      <c r="G167">
        <v>0</v>
      </c>
      <c r="H167" t="s">
        <v>5</v>
      </c>
      <c r="I167">
        <v>1</v>
      </c>
    </row>
    <row r="168" spans="1:9" x14ac:dyDescent="0.25">
      <c r="A168">
        <v>2019</v>
      </c>
      <c r="B168">
        <v>23</v>
      </c>
      <c r="C168" t="s">
        <v>107</v>
      </c>
      <c r="D168" s="10">
        <v>1132912</v>
      </c>
      <c r="E168" s="49">
        <f t="shared" si="2"/>
        <v>13.940301867090767</v>
      </c>
      <c r="F168">
        <v>9</v>
      </c>
      <c r="G168">
        <v>0</v>
      </c>
      <c r="H168" t="s">
        <v>66</v>
      </c>
      <c r="I168">
        <v>0</v>
      </c>
    </row>
    <row r="169" spans="1:9" x14ac:dyDescent="0.25">
      <c r="A169">
        <v>2019</v>
      </c>
      <c r="B169">
        <v>24</v>
      </c>
      <c r="C169" t="s">
        <v>117</v>
      </c>
      <c r="D169" s="10">
        <v>7132285.0499999998</v>
      </c>
      <c r="E169" s="49">
        <f t="shared" si="2"/>
        <v>15.78014222491746</v>
      </c>
      <c r="F169">
        <v>12</v>
      </c>
      <c r="G169">
        <v>0</v>
      </c>
      <c r="H169" t="s">
        <v>17</v>
      </c>
      <c r="I169">
        <v>1</v>
      </c>
    </row>
    <row r="170" spans="1:9" x14ac:dyDescent="0.25">
      <c r="A170">
        <v>2019</v>
      </c>
      <c r="B170">
        <v>25</v>
      </c>
      <c r="C170" t="s">
        <v>120</v>
      </c>
      <c r="D170" s="10">
        <v>4115326</v>
      </c>
      <c r="E170" s="49">
        <f t="shared" si="2"/>
        <v>15.230228611312612</v>
      </c>
      <c r="F170">
        <v>19</v>
      </c>
      <c r="G170">
        <v>0</v>
      </c>
      <c r="H170" t="s">
        <v>66</v>
      </c>
      <c r="I170">
        <v>0</v>
      </c>
    </row>
    <row r="171" spans="1:9" x14ac:dyDescent="0.25">
      <c r="A171">
        <v>2019</v>
      </c>
      <c r="B171">
        <v>26</v>
      </c>
      <c r="C171" t="s">
        <v>123</v>
      </c>
      <c r="D171" s="10">
        <v>5683248</v>
      </c>
      <c r="E171" s="49">
        <f t="shared" si="2"/>
        <v>15.553033458250212</v>
      </c>
      <c r="F171">
        <v>14</v>
      </c>
      <c r="G171">
        <v>0</v>
      </c>
      <c r="H171" t="s">
        <v>5</v>
      </c>
      <c r="I171">
        <v>1</v>
      </c>
    </row>
    <row r="172" spans="1:9" x14ac:dyDescent="0.25">
      <c r="A172">
        <v>2019</v>
      </c>
      <c r="B172">
        <v>27</v>
      </c>
      <c r="C172" t="s">
        <v>129</v>
      </c>
      <c r="D172" s="10">
        <v>22381630</v>
      </c>
      <c r="E172" s="49">
        <f t="shared" si="2"/>
        <v>16.923751091082373</v>
      </c>
      <c r="F172">
        <v>19</v>
      </c>
      <c r="G172">
        <v>0</v>
      </c>
      <c r="H172" t="s">
        <v>124</v>
      </c>
      <c r="I172">
        <v>1</v>
      </c>
    </row>
    <row r="173" spans="1:9" x14ac:dyDescent="0.25">
      <c r="A173">
        <v>2019</v>
      </c>
      <c r="B173">
        <v>28</v>
      </c>
      <c r="C173" t="s">
        <v>132</v>
      </c>
      <c r="D173" s="10">
        <v>2712921</v>
      </c>
      <c r="E173" s="49">
        <f t="shared" si="2"/>
        <v>14.813536472160706</v>
      </c>
      <c r="F173">
        <v>28</v>
      </c>
      <c r="G173">
        <v>0</v>
      </c>
      <c r="H173" t="s">
        <v>30</v>
      </c>
      <c r="I173">
        <v>0</v>
      </c>
    </row>
    <row r="174" spans="1:9" x14ac:dyDescent="0.25">
      <c r="A174">
        <v>2019</v>
      </c>
      <c r="B174">
        <v>29</v>
      </c>
      <c r="C174" t="s">
        <v>137</v>
      </c>
      <c r="D174" s="10">
        <v>18085000</v>
      </c>
      <c r="E174" s="49">
        <f t="shared" si="2"/>
        <v>16.710593423368337</v>
      </c>
      <c r="F174">
        <v>16</v>
      </c>
      <c r="G174">
        <v>0</v>
      </c>
      <c r="H174" t="s">
        <v>134</v>
      </c>
      <c r="I174">
        <v>0</v>
      </c>
    </row>
    <row r="175" spans="1:9" x14ac:dyDescent="0.25">
      <c r="A175">
        <v>2019</v>
      </c>
      <c r="B175">
        <v>30</v>
      </c>
      <c r="C175" t="s">
        <v>140</v>
      </c>
      <c r="D175" s="10">
        <v>7750000</v>
      </c>
      <c r="E175" s="49">
        <f t="shared" si="2"/>
        <v>15.86320340132953</v>
      </c>
      <c r="F175">
        <v>27</v>
      </c>
      <c r="G175">
        <v>0</v>
      </c>
      <c r="H175" t="s">
        <v>136</v>
      </c>
      <c r="I175">
        <v>1</v>
      </c>
    </row>
    <row r="176" spans="1:9" x14ac:dyDescent="0.25">
      <c r="A176">
        <v>2019</v>
      </c>
      <c r="B176">
        <v>31</v>
      </c>
      <c r="C176" t="s">
        <v>143</v>
      </c>
      <c r="D176" s="10">
        <v>26205089</v>
      </c>
      <c r="E176" s="49">
        <f t="shared" si="2"/>
        <v>17.081464186511052</v>
      </c>
      <c r="F176">
        <v>35</v>
      </c>
      <c r="G176">
        <v>0</v>
      </c>
      <c r="H176" t="s">
        <v>51</v>
      </c>
      <c r="I176">
        <v>0</v>
      </c>
    </row>
    <row r="177" spans="1:9" x14ac:dyDescent="0.25">
      <c r="A177">
        <v>2019</v>
      </c>
      <c r="B177">
        <v>32</v>
      </c>
      <c r="C177" t="s">
        <v>146</v>
      </c>
      <c r="D177" s="10">
        <v>8514000</v>
      </c>
      <c r="E177" s="49">
        <f t="shared" si="2"/>
        <v>15.957222425370235</v>
      </c>
      <c r="F177">
        <v>24</v>
      </c>
      <c r="G177">
        <v>0</v>
      </c>
      <c r="H177" t="s">
        <v>144</v>
      </c>
      <c r="I177">
        <v>1</v>
      </c>
    </row>
    <row r="178" spans="1:9" x14ac:dyDescent="0.25">
      <c r="A178">
        <v>2019</v>
      </c>
      <c r="B178">
        <v>33</v>
      </c>
      <c r="C178" t="s">
        <v>154</v>
      </c>
      <c r="D178" s="10">
        <v>1055237.25</v>
      </c>
      <c r="E178" s="49">
        <f t="shared" si="2"/>
        <v>13.869276181126834</v>
      </c>
      <c r="F178">
        <v>14</v>
      </c>
      <c r="G178">
        <v>0</v>
      </c>
      <c r="H178" t="s">
        <v>147</v>
      </c>
      <c r="I178">
        <v>0</v>
      </c>
    </row>
    <row r="179" spans="1:9" x14ac:dyDescent="0.25">
      <c r="A179">
        <v>2019</v>
      </c>
      <c r="B179">
        <v>34</v>
      </c>
      <c r="C179" t="s">
        <v>156</v>
      </c>
      <c r="D179" s="10">
        <v>2522143</v>
      </c>
      <c r="E179" s="49">
        <f t="shared" si="2"/>
        <v>14.740619494930487</v>
      </c>
      <c r="F179">
        <v>14</v>
      </c>
      <c r="G179">
        <v>0</v>
      </c>
      <c r="H179" t="s">
        <v>66</v>
      </c>
      <c r="I179">
        <v>0</v>
      </c>
    </row>
    <row r="180" spans="1:9" x14ac:dyDescent="0.25">
      <c r="A180">
        <v>2019</v>
      </c>
      <c r="B180">
        <v>35</v>
      </c>
      <c r="C180" t="s">
        <v>163</v>
      </c>
      <c r="D180" s="10">
        <v>3797220</v>
      </c>
      <c r="E180" s="49">
        <f t="shared" si="2"/>
        <v>15.14977977801478</v>
      </c>
      <c r="F180">
        <v>8</v>
      </c>
      <c r="G180">
        <v>0</v>
      </c>
      <c r="H180" t="s">
        <v>5</v>
      </c>
      <c r="I180">
        <v>1</v>
      </c>
    </row>
    <row r="181" spans="1:9" x14ac:dyDescent="0.25">
      <c r="A181">
        <v>2019</v>
      </c>
      <c r="B181">
        <v>36</v>
      </c>
      <c r="C181" t="s">
        <v>165</v>
      </c>
      <c r="D181" s="10">
        <v>10455344</v>
      </c>
      <c r="E181" s="49">
        <f t="shared" si="2"/>
        <v>16.162623793220845</v>
      </c>
      <c r="F181">
        <v>18</v>
      </c>
      <c r="G181">
        <v>0</v>
      </c>
      <c r="H181" t="s">
        <v>5</v>
      </c>
      <c r="I181">
        <v>1</v>
      </c>
    </row>
    <row r="182" spans="1:9" x14ac:dyDescent="0.25">
      <c r="A182">
        <v>2019</v>
      </c>
      <c r="B182">
        <v>37</v>
      </c>
      <c r="C182" t="s">
        <v>168</v>
      </c>
      <c r="D182" s="10">
        <v>51809313.82</v>
      </c>
      <c r="E182" s="49">
        <f t="shared" si="2"/>
        <v>17.763080494541907</v>
      </c>
      <c r="F182">
        <v>41</v>
      </c>
      <c r="G182">
        <v>0</v>
      </c>
      <c r="H182" t="s">
        <v>166</v>
      </c>
      <c r="I182">
        <v>1</v>
      </c>
    </row>
    <row r="183" spans="1:9" x14ac:dyDescent="0.25">
      <c r="A183">
        <v>2019</v>
      </c>
      <c r="B183">
        <v>38</v>
      </c>
      <c r="C183" t="s">
        <v>173</v>
      </c>
      <c r="D183" s="10">
        <v>2711865.89</v>
      </c>
      <c r="E183" s="49">
        <f t="shared" si="2"/>
        <v>14.813147476229732</v>
      </c>
      <c r="F183">
        <v>56</v>
      </c>
      <c r="G183">
        <v>0</v>
      </c>
      <c r="H183" t="s">
        <v>171</v>
      </c>
      <c r="I183">
        <v>1</v>
      </c>
    </row>
    <row r="184" spans="1:9" x14ac:dyDescent="0.25">
      <c r="A184">
        <v>2019</v>
      </c>
      <c r="B184">
        <v>39</v>
      </c>
      <c r="C184" t="s">
        <v>176</v>
      </c>
      <c r="D184" s="10">
        <v>191601213.34</v>
      </c>
      <c r="E184" s="49">
        <f t="shared" si="2"/>
        <v>19.070926756153217</v>
      </c>
      <c r="F184">
        <v>27</v>
      </c>
      <c r="G184">
        <v>0</v>
      </c>
      <c r="H184" t="s">
        <v>171</v>
      </c>
      <c r="I184">
        <v>1</v>
      </c>
    </row>
    <row r="185" spans="1:9" x14ac:dyDescent="0.25">
      <c r="A185">
        <v>2019</v>
      </c>
      <c r="B185">
        <v>40</v>
      </c>
      <c r="C185" t="s">
        <v>180</v>
      </c>
      <c r="D185" s="10">
        <v>87229546</v>
      </c>
      <c r="E185" s="49">
        <f t="shared" si="2"/>
        <v>18.284053661764425</v>
      </c>
      <c r="F185">
        <v>72</v>
      </c>
      <c r="G185">
        <v>0</v>
      </c>
      <c r="H185" t="s">
        <v>17</v>
      </c>
      <c r="I185">
        <v>1</v>
      </c>
    </row>
    <row r="186" spans="1:9" x14ac:dyDescent="0.25">
      <c r="A186">
        <v>2019</v>
      </c>
      <c r="B186">
        <v>41</v>
      </c>
      <c r="C186" t="s">
        <v>183</v>
      </c>
      <c r="D186" s="10">
        <v>9804304</v>
      </c>
      <c r="E186" s="49">
        <f t="shared" si="2"/>
        <v>16.098332030901346</v>
      </c>
      <c r="F186">
        <v>39</v>
      </c>
      <c r="G186">
        <v>0</v>
      </c>
      <c r="H186" t="s">
        <v>181</v>
      </c>
      <c r="I186">
        <v>1</v>
      </c>
    </row>
    <row r="187" spans="1:9" x14ac:dyDescent="0.25">
      <c r="A187">
        <v>2019</v>
      </c>
      <c r="B187">
        <v>42</v>
      </c>
      <c r="C187" t="s">
        <v>187</v>
      </c>
      <c r="D187" s="10">
        <v>156023000</v>
      </c>
      <c r="E187" s="49">
        <f t="shared" si="2"/>
        <v>18.865513990243642</v>
      </c>
      <c r="F187">
        <v>22</v>
      </c>
      <c r="G187">
        <v>0</v>
      </c>
      <c r="H187" t="s">
        <v>185</v>
      </c>
      <c r="I187">
        <v>1</v>
      </c>
    </row>
    <row r="188" spans="1:9" x14ac:dyDescent="0.25">
      <c r="A188">
        <v>2019</v>
      </c>
      <c r="B188">
        <v>43</v>
      </c>
      <c r="C188" t="s">
        <v>190</v>
      </c>
      <c r="D188" s="10">
        <v>64764000</v>
      </c>
      <c r="E188" s="49">
        <f t="shared" si="2"/>
        <v>17.98626045138878</v>
      </c>
      <c r="F188">
        <v>28</v>
      </c>
      <c r="G188">
        <v>0</v>
      </c>
      <c r="H188" t="s">
        <v>5</v>
      </c>
      <c r="I188">
        <v>1</v>
      </c>
    </row>
    <row r="189" spans="1:9" x14ac:dyDescent="0.25">
      <c r="A189">
        <v>2019</v>
      </c>
      <c r="B189">
        <v>44</v>
      </c>
      <c r="C189" t="s">
        <v>194</v>
      </c>
      <c r="D189" s="10">
        <v>60209.71</v>
      </c>
      <c r="E189" s="49">
        <f t="shared" si="2"/>
        <v>11.005588913971225</v>
      </c>
      <c r="F189">
        <v>23</v>
      </c>
      <c r="G189">
        <v>0</v>
      </c>
      <c r="H189" t="s">
        <v>192</v>
      </c>
      <c r="I189">
        <v>0</v>
      </c>
    </row>
    <row r="190" spans="1:9" x14ac:dyDescent="0.25">
      <c r="A190">
        <v>2019</v>
      </c>
      <c r="B190">
        <v>45</v>
      </c>
      <c r="C190" t="s">
        <v>197</v>
      </c>
      <c r="D190" s="10">
        <v>10519166</v>
      </c>
      <c r="E190" s="49">
        <f t="shared" si="2"/>
        <v>16.168709484564666</v>
      </c>
      <c r="F190">
        <v>34</v>
      </c>
      <c r="G190">
        <v>1</v>
      </c>
      <c r="H190" t="s">
        <v>195</v>
      </c>
      <c r="I190">
        <v>0</v>
      </c>
    </row>
    <row r="191" spans="1:9" x14ac:dyDescent="0.25">
      <c r="A191">
        <v>2019</v>
      </c>
      <c r="B191">
        <v>46</v>
      </c>
      <c r="C191" t="s">
        <v>202</v>
      </c>
      <c r="D191" s="10">
        <v>26295378</v>
      </c>
      <c r="E191" s="49">
        <f t="shared" si="2"/>
        <v>17.084903740258788</v>
      </c>
      <c r="F191">
        <v>21</v>
      </c>
      <c r="G191">
        <v>1</v>
      </c>
      <c r="H191" t="s">
        <v>5</v>
      </c>
      <c r="I191">
        <v>1</v>
      </c>
    </row>
    <row r="192" spans="1:9" x14ac:dyDescent="0.25">
      <c r="A192">
        <v>2019</v>
      </c>
      <c r="B192">
        <v>47</v>
      </c>
      <c r="C192" t="s">
        <v>205</v>
      </c>
      <c r="D192" s="10">
        <v>31118000</v>
      </c>
      <c r="E192" s="49">
        <f t="shared" si="2"/>
        <v>17.253296987857045</v>
      </c>
      <c r="F192">
        <v>73</v>
      </c>
      <c r="G192">
        <v>1</v>
      </c>
      <c r="H192" t="s">
        <v>5</v>
      </c>
      <c r="I192">
        <v>1</v>
      </c>
    </row>
    <row r="193" spans="1:9" x14ac:dyDescent="0.25">
      <c r="A193">
        <v>2019</v>
      </c>
      <c r="B193">
        <v>48</v>
      </c>
      <c r="C193" t="s">
        <v>208</v>
      </c>
      <c r="D193" s="10">
        <v>29045622</v>
      </c>
      <c r="E193" s="49">
        <f t="shared" si="2"/>
        <v>17.18437832422509</v>
      </c>
      <c r="F193">
        <v>11</v>
      </c>
      <c r="G193">
        <v>1</v>
      </c>
      <c r="H193" t="s">
        <v>147</v>
      </c>
      <c r="I193">
        <v>0</v>
      </c>
    </row>
    <row r="194" spans="1:9" x14ac:dyDescent="0.25">
      <c r="A194">
        <v>2019</v>
      </c>
      <c r="B194">
        <v>49</v>
      </c>
      <c r="C194" t="s">
        <v>217</v>
      </c>
      <c r="D194" s="10">
        <v>29223000</v>
      </c>
      <c r="E194" s="49">
        <f t="shared" si="2"/>
        <v>17.190466628421202</v>
      </c>
      <c r="F194">
        <v>29</v>
      </c>
      <c r="G194">
        <v>1</v>
      </c>
      <c r="H194" t="s">
        <v>5</v>
      </c>
      <c r="I194">
        <v>1</v>
      </c>
    </row>
    <row r="195" spans="1:9" x14ac:dyDescent="0.25">
      <c r="A195">
        <v>2019</v>
      </c>
      <c r="B195">
        <v>50</v>
      </c>
      <c r="C195" t="s">
        <v>222</v>
      </c>
      <c r="D195" s="10">
        <v>6867364</v>
      </c>
      <c r="E195" s="49">
        <f t="shared" ref="E195:E258" si="3">LN(D195)</f>
        <v>15.742290893333561</v>
      </c>
      <c r="F195">
        <v>53</v>
      </c>
      <c r="G195">
        <v>0</v>
      </c>
      <c r="H195" t="s">
        <v>17</v>
      </c>
      <c r="I195">
        <v>1</v>
      </c>
    </row>
    <row r="196" spans="1:9" x14ac:dyDescent="0.25">
      <c r="A196">
        <v>2019</v>
      </c>
      <c r="B196">
        <v>51</v>
      </c>
      <c r="C196" t="s">
        <v>225</v>
      </c>
      <c r="D196" s="10">
        <v>10738000</v>
      </c>
      <c r="E196" s="49">
        <f t="shared" si="3"/>
        <v>16.189299409964651</v>
      </c>
      <c r="F196">
        <v>30</v>
      </c>
      <c r="G196">
        <v>0</v>
      </c>
      <c r="H196" t="s">
        <v>223</v>
      </c>
      <c r="I196">
        <v>0</v>
      </c>
    </row>
    <row r="197" spans="1:9" x14ac:dyDescent="0.25">
      <c r="A197">
        <v>2019</v>
      </c>
      <c r="B197">
        <v>52</v>
      </c>
      <c r="C197" t="s">
        <v>405</v>
      </c>
      <c r="D197" s="10">
        <v>25051779</v>
      </c>
      <c r="E197" s="49">
        <f t="shared" si="3"/>
        <v>17.036455400937562</v>
      </c>
      <c r="F197">
        <v>11</v>
      </c>
      <c r="G197">
        <v>0</v>
      </c>
      <c r="H197" t="s">
        <v>5</v>
      </c>
      <c r="I197">
        <v>1</v>
      </c>
    </row>
    <row r="198" spans="1:9" x14ac:dyDescent="0.25">
      <c r="A198">
        <v>2019</v>
      </c>
      <c r="B198">
        <v>53</v>
      </c>
      <c r="C198" t="s">
        <v>233</v>
      </c>
      <c r="D198" s="10">
        <v>9053664.2899999991</v>
      </c>
      <c r="E198" s="49">
        <f t="shared" si="3"/>
        <v>16.018680127651336</v>
      </c>
      <c r="F198">
        <v>32</v>
      </c>
      <c r="G198">
        <v>0</v>
      </c>
      <c r="H198" t="s">
        <v>5</v>
      </c>
      <c r="I198">
        <v>1</v>
      </c>
    </row>
    <row r="199" spans="1:9" x14ac:dyDescent="0.25">
      <c r="A199">
        <v>2019</v>
      </c>
      <c r="B199">
        <v>54</v>
      </c>
      <c r="C199" t="s">
        <v>237</v>
      </c>
      <c r="D199" s="10">
        <v>6129284</v>
      </c>
      <c r="E199" s="49">
        <f t="shared" si="3"/>
        <v>15.628588498480324</v>
      </c>
      <c r="F199">
        <v>25</v>
      </c>
      <c r="G199">
        <v>0</v>
      </c>
      <c r="H199" t="s">
        <v>5</v>
      </c>
      <c r="I199">
        <v>1</v>
      </c>
    </row>
    <row r="200" spans="1:9" x14ac:dyDescent="0.25">
      <c r="A200">
        <v>2019</v>
      </c>
      <c r="B200">
        <v>55</v>
      </c>
      <c r="C200" t="s">
        <v>244</v>
      </c>
      <c r="D200" s="10">
        <v>8179313.2599999998</v>
      </c>
      <c r="E200" s="49">
        <f t="shared" si="3"/>
        <v>15.917118751509401</v>
      </c>
      <c r="F200">
        <v>24</v>
      </c>
      <c r="G200">
        <v>0</v>
      </c>
      <c r="H200" t="s">
        <v>239</v>
      </c>
      <c r="I200">
        <v>0</v>
      </c>
    </row>
    <row r="201" spans="1:9" x14ac:dyDescent="0.25">
      <c r="A201">
        <v>2019</v>
      </c>
      <c r="B201">
        <v>56</v>
      </c>
      <c r="C201" t="s">
        <v>248</v>
      </c>
      <c r="D201" s="10">
        <v>6029804</v>
      </c>
      <c r="E201" s="49">
        <f t="shared" si="3"/>
        <v>15.612225064029159</v>
      </c>
      <c r="F201">
        <v>70</v>
      </c>
      <c r="G201">
        <v>0</v>
      </c>
      <c r="H201" t="s">
        <v>245</v>
      </c>
      <c r="I201">
        <v>0</v>
      </c>
    </row>
    <row r="202" spans="1:9" x14ac:dyDescent="0.25">
      <c r="A202">
        <v>2019</v>
      </c>
      <c r="B202">
        <v>57</v>
      </c>
      <c r="C202" t="s">
        <v>251</v>
      </c>
      <c r="D202" s="10">
        <v>2348390.87</v>
      </c>
      <c r="E202" s="49">
        <f t="shared" si="3"/>
        <v>14.669240915411246</v>
      </c>
      <c r="F202">
        <v>18</v>
      </c>
      <c r="G202">
        <v>0</v>
      </c>
      <c r="H202" t="s">
        <v>5</v>
      </c>
      <c r="I202">
        <v>1</v>
      </c>
    </row>
    <row r="203" spans="1:9" x14ac:dyDescent="0.25">
      <c r="A203">
        <v>2019</v>
      </c>
      <c r="B203">
        <v>58</v>
      </c>
      <c r="C203" t="s">
        <v>255</v>
      </c>
      <c r="D203" s="10">
        <v>15449207.82</v>
      </c>
      <c r="E203" s="49">
        <f t="shared" si="3"/>
        <v>16.553068286207075</v>
      </c>
      <c r="F203">
        <v>31</v>
      </c>
      <c r="G203">
        <v>0</v>
      </c>
      <c r="H203" t="s">
        <v>253</v>
      </c>
      <c r="I203">
        <v>0</v>
      </c>
    </row>
    <row r="204" spans="1:9" x14ac:dyDescent="0.25">
      <c r="A204">
        <v>2019</v>
      </c>
      <c r="B204">
        <v>59</v>
      </c>
      <c r="C204" t="s">
        <v>258</v>
      </c>
      <c r="D204" s="10">
        <v>16427062</v>
      </c>
      <c r="E204" s="49">
        <f t="shared" si="3"/>
        <v>16.614440654790275</v>
      </c>
      <c r="F204">
        <v>77</v>
      </c>
      <c r="G204">
        <v>0</v>
      </c>
      <c r="H204" t="s">
        <v>5</v>
      </c>
      <c r="I204">
        <v>1</v>
      </c>
    </row>
    <row r="205" spans="1:9" x14ac:dyDescent="0.25">
      <c r="A205">
        <v>2019</v>
      </c>
      <c r="B205">
        <v>60</v>
      </c>
      <c r="C205" t="s">
        <v>261</v>
      </c>
      <c r="D205" s="10">
        <v>10348402</v>
      </c>
      <c r="E205" s="49">
        <f t="shared" si="3"/>
        <v>16.152342669620076</v>
      </c>
      <c r="F205">
        <v>21</v>
      </c>
      <c r="G205">
        <v>0</v>
      </c>
      <c r="H205" t="s">
        <v>5</v>
      </c>
      <c r="I205">
        <v>1</v>
      </c>
    </row>
    <row r="206" spans="1:9" x14ac:dyDescent="0.25">
      <c r="A206">
        <v>2019</v>
      </c>
      <c r="B206">
        <v>61</v>
      </c>
      <c r="C206" t="s">
        <v>264</v>
      </c>
      <c r="D206" s="10">
        <v>6388905</v>
      </c>
      <c r="E206" s="49">
        <f t="shared" si="3"/>
        <v>15.67007345016731</v>
      </c>
      <c r="F206">
        <v>55</v>
      </c>
      <c r="G206">
        <v>0</v>
      </c>
      <c r="H206" t="s">
        <v>17</v>
      </c>
      <c r="I206">
        <v>1</v>
      </c>
    </row>
    <row r="207" spans="1:9" x14ac:dyDescent="0.25">
      <c r="A207">
        <v>2019</v>
      </c>
      <c r="B207">
        <v>62</v>
      </c>
      <c r="C207" t="s">
        <v>270</v>
      </c>
      <c r="D207" s="10">
        <v>1496317</v>
      </c>
      <c r="E207" s="49">
        <f t="shared" si="3"/>
        <v>14.218517313464988</v>
      </c>
      <c r="F207">
        <v>19</v>
      </c>
      <c r="G207">
        <v>0</v>
      </c>
      <c r="H207" t="s">
        <v>35</v>
      </c>
      <c r="I207">
        <v>1</v>
      </c>
    </row>
    <row r="208" spans="1:9" x14ac:dyDescent="0.25">
      <c r="A208">
        <v>2019</v>
      </c>
      <c r="B208">
        <v>63</v>
      </c>
      <c r="C208" t="s">
        <v>406</v>
      </c>
      <c r="D208" s="10">
        <v>13410867</v>
      </c>
      <c r="E208" s="49">
        <f t="shared" si="3"/>
        <v>16.411575906411777</v>
      </c>
      <c r="F208">
        <v>20</v>
      </c>
      <c r="G208">
        <v>0</v>
      </c>
      <c r="H208" t="s">
        <v>5</v>
      </c>
      <c r="I208">
        <v>1</v>
      </c>
    </row>
    <row r="209" spans="1:9" x14ac:dyDescent="0.25">
      <c r="A209">
        <v>2019</v>
      </c>
      <c r="B209">
        <v>64</v>
      </c>
      <c r="C209" t="s">
        <v>281</v>
      </c>
      <c r="D209" s="10">
        <v>35177398.160000004</v>
      </c>
      <c r="E209" s="49">
        <f t="shared" si="3"/>
        <v>17.37591433660802</v>
      </c>
      <c r="F209">
        <v>27</v>
      </c>
      <c r="G209">
        <v>0</v>
      </c>
      <c r="H209" t="s">
        <v>273</v>
      </c>
      <c r="I209">
        <v>0</v>
      </c>
    </row>
    <row r="210" spans="1:9" x14ac:dyDescent="0.25">
      <c r="A210">
        <v>2019</v>
      </c>
      <c r="B210">
        <v>65</v>
      </c>
      <c r="C210" t="s">
        <v>289</v>
      </c>
      <c r="D210" s="10">
        <v>8171288.96</v>
      </c>
      <c r="E210" s="49">
        <f t="shared" si="3"/>
        <v>15.916137221834072</v>
      </c>
      <c r="F210">
        <v>43</v>
      </c>
      <c r="G210">
        <v>0</v>
      </c>
      <c r="H210" t="s">
        <v>17</v>
      </c>
      <c r="I210">
        <v>1</v>
      </c>
    </row>
    <row r="211" spans="1:9" x14ac:dyDescent="0.25">
      <c r="A211">
        <v>2019</v>
      </c>
      <c r="B211">
        <v>66</v>
      </c>
      <c r="C211" t="s">
        <v>295</v>
      </c>
      <c r="D211" s="10">
        <v>27337875.350000001</v>
      </c>
      <c r="E211" s="49">
        <f t="shared" si="3"/>
        <v>17.123783674096952</v>
      </c>
      <c r="F211">
        <v>17</v>
      </c>
      <c r="G211">
        <v>0</v>
      </c>
      <c r="H211" t="s">
        <v>5</v>
      </c>
      <c r="I211">
        <v>1</v>
      </c>
    </row>
    <row r="212" spans="1:9" x14ac:dyDescent="0.25">
      <c r="A212">
        <v>2019</v>
      </c>
      <c r="B212">
        <v>67</v>
      </c>
      <c r="C212" t="s">
        <v>300</v>
      </c>
      <c r="D212" s="10">
        <v>56799314</v>
      </c>
      <c r="E212" s="49">
        <f t="shared" si="3"/>
        <v>17.855034806153657</v>
      </c>
      <c r="F212">
        <v>50</v>
      </c>
      <c r="G212">
        <v>0</v>
      </c>
      <c r="H212" t="s">
        <v>297</v>
      </c>
      <c r="I212">
        <v>0</v>
      </c>
    </row>
    <row r="213" spans="1:9" x14ac:dyDescent="0.25">
      <c r="A213">
        <v>2019</v>
      </c>
      <c r="B213">
        <v>68</v>
      </c>
      <c r="C213" t="s">
        <v>304</v>
      </c>
      <c r="D213" s="10">
        <v>57082208</v>
      </c>
      <c r="E213" s="49">
        <f t="shared" si="3"/>
        <v>17.860003032375566</v>
      </c>
      <c r="F213">
        <v>17</v>
      </c>
      <c r="G213">
        <v>0</v>
      </c>
      <c r="H213" t="s">
        <v>5</v>
      </c>
      <c r="I213">
        <v>1</v>
      </c>
    </row>
    <row r="214" spans="1:9" x14ac:dyDescent="0.25">
      <c r="A214">
        <v>2019</v>
      </c>
      <c r="B214">
        <v>69</v>
      </c>
      <c r="C214" t="s">
        <v>308</v>
      </c>
      <c r="D214" s="10">
        <v>1421048.5799999998</v>
      </c>
      <c r="E214" s="49">
        <f t="shared" si="3"/>
        <v>14.166905593686987</v>
      </c>
      <c r="F214">
        <v>52</v>
      </c>
      <c r="G214">
        <v>0</v>
      </c>
      <c r="H214" t="s">
        <v>5</v>
      </c>
      <c r="I214">
        <v>1</v>
      </c>
    </row>
    <row r="215" spans="1:9" x14ac:dyDescent="0.25">
      <c r="A215">
        <v>2019</v>
      </c>
      <c r="B215">
        <v>70</v>
      </c>
      <c r="C215" t="s">
        <v>311</v>
      </c>
      <c r="D215" s="10">
        <v>19582000</v>
      </c>
      <c r="E215" s="49">
        <f t="shared" si="3"/>
        <v>16.790121334896153</v>
      </c>
      <c r="F215">
        <v>9</v>
      </c>
      <c r="G215">
        <v>0</v>
      </c>
      <c r="H215" t="s">
        <v>51</v>
      </c>
      <c r="I215">
        <v>0</v>
      </c>
    </row>
    <row r="216" spans="1:9" x14ac:dyDescent="0.25">
      <c r="A216">
        <v>2019</v>
      </c>
      <c r="B216">
        <v>71</v>
      </c>
      <c r="C216" t="s">
        <v>407</v>
      </c>
      <c r="D216" s="10">
        <v>9479489.790000001</v>
      </c>
      <c r="E216" s="49">
        <f t="shared" si="3"/>
        <v>16.064641053162624</v>
      </c>
      <c r="F216">
        <v>52</v>
      </c>
      <c r="G216">
        <v>0</v>
      </c>
      <c r="H216" t="s">
        <v>5</v>
      </c>
      <c r="I216">
        <v>1</v>
      </c>
    </row>
    <row r="217" spans="1:9" x14ac:dyDescent="0.25">
      <c r="A217">
        <v>2019</v>
      </c>
      <c r="B217">
        <v>72</v>
      </c>
      <c r="C217" t="s">
        <v>408</v>
      </c>
      <c r="D217" s="10">
        <v>3656916</v>
      </c>
      <c r="E217" s="49">
        <f t="shared" si="3"/>
        <v>15.11213072722046</v>
      </c>
      <c r="F217">
        <v>33</v>
      </c>
      <c r="G217">
        <v>0</v>
      </c>
      <c r="H217" t="s">
        <v>192</v>
      </c>
      <c r="I217">
        <v>0</v>
      </c>
    </row>
    <row r="218" spans="1:9" x14ac:dyDescent="0.25">
      <c r="A218">
        <v>2020</v>
      </c>
      <c r="B218">
        <v>1</v>
      </c>
      <c r="C218" t="s">
        <v>6</v>
      </c>
      <c r="D218" s="10">
        <v>39715022</v>
      </c>
      <c r="E218" s="49">
        <f t="shared" si="3"/>
        <v>17.497240061996088</v>
      </c>
      <c r="F218">
        <v>59</v>
      </c>
      <c r="G218">
        <v>0</v>
      </c>
      <c r="H218" t="s">
        <v>8</v>
      </c>
      <c r="I218">
        <v>1</v>
      </c>
    </row>
    <row r="219" spans="1:9" x14ac:dyDescent="0.25">
      <c r="A219">
        <v>2020</v>
      </c>
      <c r="B219">
        <v>2</v>
      </c>
      <c r="C219" t="s">
        <v>14</v>
      </c>
      <c r="D219" s="10">
        <v>76997760</v>
      </c>
      <c r="E219" s="49">
        <f t="shared" si="3"/>
        <v>18.159286888485717</v>
      </c>
      <c r="F219">
        <v>43</v>
      </c>
      <c r="G219">
        <v>0</v>
      </c>
      <c r="H219" t="s">
        <v>17</v>
      </c>
      <c r="I219">
        <v>1</v>
      </c>
    </row>
    <row r="220" spans="1:9" x14ac:dyDescent="0.25">
      <c r="A220">
        <v>2020</v>
      </c>
      <c r="B220">
        <v>3</v>
      </c>
      <c r="C220" t="s">
        <v>25</v>
      </c>
      <c r="D220" s="10">
        <v>1595437</v>
      </c>
      <c r="E220" s="49">
        <f t="shared" si="3"/>
        <v>14.282658237866313</v>
      </c>
      <c r="F220">
        <v>16</v>
      </c>
      <c r="G220">
        <v>0</v>
      </c>
      <c r="H220" t="s">
        <v>5</v>
      </c>
      <c r="I220">
        <v>1</v>
      </c>
    </row>
    <row r="221" spans="1:9" x14ac:dyDescent="0.25">
      <c r="A221">
        <v>2020</v>
      </c>
      <c r="B221">
        <v>4</v>
      </c>
      <c r="C221" t="s">
        <v>27</v>
      </c>
      <c r="D221" s="10">
        <v>18624</v>
      </c>
      <c r="E221" s="49">
        <f t="shared" si="3"/>
        <v>9.8322063505311643</v>
      </c>
      <c r="F221">
        <v>32</v>
      </c>
      <c r="G221">
        <v>1</v>
      </c>
      <c r="H221" t="s">
        <v>5</v>
      </c>
      <c r="I221">
        <v>1</v>
      </c>
    </row>
    <row r="222" spans="1:9" x14ac:dyDescent="0.25">
      <c r="A222">
        <v>2020</v>
      </c>
      <c r="B222">
        <v>5</v>
      </c>
      <c r="C222" t="s">
        <v>29</v>
      </c>
      <c r="D222" s="10">
        <v>1779549.14</v>
      </c>
      <c r="E222" s="49">
        <f t="shared" si="3"/>
        <v>14.391870598049566</v>
      </c>
      <c r="F222">
        <v>13</v>
      </c>
      <c r="G222">
        <v>0</v>
      </c>
      <c r="H222" t="s">
        <v>30</v>
      </c>
      <c r="I222">
        <v>0</v>
      </c>
    </row>
    <row r="223" spans="1:9" x14ac:dyDescent="0.25">
      <c r="A223">
        <v>2020</v>
      </c>
      <c r="B223">
        <v>6</v>
      </c>
      <c r="C223" t="s">
        <v>32</v>
      </c>
      <c r="D223" s="10">
        <v>10243000</v>
      </c>
      <c r="E223" s="49">
        <f t="shared" si="3"/>
        <v>16.142105103418672</v>
      </c>
      <c r="F223">
        <v>10</v>
      </c>
      <c r="G223">
        <v>0</v>
      </c>
      <c r="H223" t="s">
        <v>5</v>
      </c>
      <c r="I223">
        <v>1</v>
      </c>
    </row>
    <row r="224" spans="1:9" x14ac:dyDescent="0.25">
      <c r="A224">
        <v>2020</v>
      </c>
      <c r="B224">
        <v>7</v>
      </c>
      <c r="C224" t="s">
        <v>34</v>
      </c>
      <c r="D224" s="10">
        <v>10796000</v>
      </c>
      <c r="E224" s="49">
        <f t="shared" si="3"/>
        <v>16.194686253120032</v>
      </c>
      <c r="F224">
        <v>47</v>
      </c>
      <c r="G224">
        <v>0</v>
      </c>
      <c r="H224" t="s">
        <v>35</v>
      </c>
      <c r="I224">
        <v>1</v>
      </c>
    </row>
    <row r="225" spans="1:9" x14ac:dyDescent="0.25">
      <c r="A225">
        <v>2020</v>
      </c>
      <c r="B225">
        <v>8</v>
      </c>
      <c r="C225" t="s">
        <v>37</v>
      </c>
      <c r="D225" s="10">
        <v>606553658</v>
      </c>
      <c r="E225" s="49">
        <f t="shared" si="3"/>
        <v>20.223303753993122</v>
      </c>
      <c r="F225">
        <v>119</v>
      </c>
      <c r="G225">
        <v>0</v>
      </c>
      <c r="H225" t="s">
        <v>17</v>
      </c>
      <c r="I225">
        <v>1</v>
      </c>
    </row>
    <row r="226" spans="1:9" x14ac:dyDescent="0.25">
      <c r="A226">
        <v>2020</v>
      </c>
      <c r="B226">
        <v>9</v>
      </c>
      <c r="C226" t="s">
        <v>41</v>
      </c>
      <c r="D226" s="10">
        <v>1123478.67</v>
      </c>
      <c r="E226" s="49">
        <f t="shared" si="3"/>
        <v>13.931940385113545</v>
      </c>
      <c r="F226">
        <v>19</v>
      </c>
      <c r="G226">
        <v>0</v>
      </c>
      <c r="H226" t="s">
        <v>42</v>
      </c>
      <c r="I226">
        <v>1</v>
      </c>
    </row>
    <row r="227" spans="1:9" x14ac:dyDescent="0.25">
      <c r="A227">
        <v>2020</v>
      </c>
      <c r="B227">
        <v>10</v>
      </c>
      <c r="C227" t="s">
        <v>44</v>
      </c>
      <c r="D227" s="10">
        <v>34555422.799999997</v>
      </c>
      <c r="E227" s="49">
        <f t="shared" si="3"/>
        <v>17.358075050999265</v>
      </c>
      <c r="F227">
        <v>16</v>
      </c>
      <c r="G227">
        <v>0</v>
      </c>
      <c r="H227" t="s">
        <v>17</v>
      </c>
      <c r="I227">
        <v>1</v>
      </c>
    </row>
    <row r="228" spans="1:9" x14ac:dyDescent="0.25">
      <c r="A228">
        <v>2020</v>
      </c>
      <c r="B228">
        <v>11</v>
      </c>
      <c r="C228" t="s">
        <v>47</v>
      </c>
      <c r="D228" s="10">
        <v>21346182</v>
      </c>
      <c r="E228" s="49">
        <f t="shared" si="3"/>
        <v>16.876383452607275</v>
      </c>
      <c r="F228">
        <v>23</v>
      </c>
      <c r="G228">
        <v>0</v>
      </c>
      <c r="H228" t="s">
        <v>327</v>
      </c>
      <c r="I228">
        <v>1</v>
      </c>
    </row>
    <row r="229" spans="1:9" x14ac:dyDescent="0.25">
      <c r="A229">
        <v>2020</v>
      </c>
      <c r="B229">
        <v>12</v>
      </c>
      <c r="C229" t="s">
        <v>49</v>
      </c>
      <c r="D229" s="10">
        <v>30209966</v>
      </c>
      <c r="E229" s="49">
        <f t="shared" si="3"/>
        <v>17.223682427907075</v>
      </c>
      <c r="F229">
        <v>21</v>
      </c>
      <c r="G229">
        <v>0</v>
      </c>
      <c r="H229" t="s">
        <v>48</v>
      </c>
      <c r="I229">
        <v>0</v>
      </c>
    </row>
    <row r="230" spans="1:9" x14ac:dyDescent="0.25">
      <c r="A230">
        <v>2020</v>
      </c>
      <c r="B230">
        <v>13</v>
      </c>
      <c r="C230" t="s">
        <v>55</v>
      </c>
      <c r="D230" s="10">
        <v>2210088</v>
      </c>
      <c r="E230" s="49">
        <f t="shared" si="3"/>
        <v>14.608542891705705</v>
      </c>
      <c r="F230">
        <v>53</v>
      </c>
      <c r="G230">
        <v>0</v>
      </c>
      <c r="H230" t="s">
        <v>51</v>
      </c>
      <c r="I230">
        <v>0</v>
      </c>
    </row>
    <row r="231" spans="1:9" x14ac:dyDescent="0.25">
      <c r="A231">
        <v>2020</v>
      </c>
      <c r="B231">
        <v>14</v>
      </c>
      <c r="C231" t="s">
        <v>58</v>
      </c>
      <c r="D231" s="10">
        <v>2974512</v>
      </c>
      <c r="E231" s="49">
        <f t="shared" si="3"/>
        <v>14.905590549893438</v>
      </c>
      <c r="F231">
        <v>12</v>
      </c>
      <c r="G231">
        <v>0</v>
      </c>
      <c r="H231" t="s">
        <v>5</v>
      </c>
      <c r="I231">
        <v>1</v>
      </c>
    </row>
    <row r="232" spans="1:9" x14ac:dyDescent="0.25">
      <c r="A232">
        <v>2020</v>
      </c>
      <c r="B232">
        <v>15</v>
      </c>
      <c r="C232" t="s">
        <v>404</v>
      </c>
      <c r="D232" s="10">
        <v>8623485.0299999993</v>
      </c>
      <c r="E232" s="49">
        <f t="shared" si="3"/>
        <v>15.969999856758006</v>
      </c>
      <c r="F232">
        <v>21</v>
      </c>
      <c r="G232">
        <v>0</v>
      </c>
      <c r="H232" t="s">
        <v>30</v>
      </c>
      <c r="I232">
        <v>0</v>
      </c>
    </row>
    <row r="233" spans="1:9" x14ac:dyDescent="0.25">
      <c r="A233">
        <v>2020</v>
      </c>
      <c r="B233">
        <v>16</v>
      </c>
      <c r="C233" t="s">
        <v>70</v>
      </c>
      <c r="D233" s="10">
        <v>50630421</v>
      </c>
      <c r="E233" s="49">
        <f t="shared" si="3"/>
        <v>17.740063159139645</v>
      </c>
      <c r="F233">
        <v>45</v>
      </c>
      <c r="G233">
        <v>0</v>
      </c>
      <c r="H233" t="s">
        <v>66</v>
      </c>
      <c r="I233">
        <v>0</v>
      </c>
    </row>
    <row r="234" spans="1:9" x14ac:dyDescent="0.25">
      <c r="A234">
        <v>2020</v>
      </c>
      <c r="B234">
        <v>17</v>
      </c>
      <c r="C234" t="s">
        <v>87</v>
      </c>
      <c r="D234" s="10">
        <v>6578000</v>
      </c>
      <c r="E234" s="49">
        <f t="shared" si="3"/>
        <v>15.699241305731139</v>
      </c>
      <c r="F234">
        <v>24</v>
      </c>
      <c r="G234">
        <v>0</v>
      </c>
      <c r="H234" t="s">
        <v>5</v>
      </c>
      <c r="I234">
        <v>1</v>
      </c>
    </row>
    <row r="235" spans="1:9" x14ac:dyDescent="0.25">
      <c r="A235">
        <v>2020</v>
      </c>
      <c r="B235">
        <v>18</v>
      </c>
      <c r="C235" t="s">
        <v>88</v>
      </c>
      <c r="D235" s="10">
        <v>3873235</v>
      </c>
      <c r="E235" s="49">
        <f t="shared" si="3"/>
        <v>15.169600633134328</v>
      </c>
      <c r="F235">
        <v>24</v>
      </c>
      <c r="G235">
        <v>0</v>
      </c>
      <c r="H235" t="s">
        <v>35</v>
      </c>
      <c r="I235">
        <v>1</v>
      </c>
    </row>
    <row r="236" spans="1:9" x14ac:dyDescent="0.25">
      <c r="A236">
        <v>2020</v>
      </c>
      <c r="B236">
        <v>19</v>
      </c>
      <c r="C236" t="s">
        <v>91</v>
      </c>
      <c r="D236" s="10">
        <v>6231482.3600000003</v>
      </c>
      <c r="E236" s="49">
        <f t="shared" si="3"/>
        <v>15.645124801465457</v>
      </c>
      <c r="F236">
        <v>23</v>
      </c>
      <c r="G236">
        <v>0</v>
      </c>
      <c r="H236" t="s">
        <v>5</v>
      </c>
      <c r="I236">
        <v>1</v>
      </c>
    </row>
    <row r="237" spans="1:9" x14ac:dyDescent="0.25">
      <c r="A237">
        <v>2020</v>
      </c>
      <c r="B237">
        <v>20</v>
      </c>
      <c r="C237" t="s">
        <v>97</v>
      </c>
      <c r="D237" s="10">
        <v>2466983.46</v>
      </c>
      <c r="E237" s="49">
        <f t="shared" si="3"/>
        <v>14.718506690989626</v>
      </c>
      <c r="F237">
        <v>15</v>
      </c>
      <c r="G237">
        <v>0</v>
      </c>
      <c r="H237" t="s">
        <v>35</v>
      </c>
      <c r="I237">
        <v>1</v>
      </c>
    </row>
    <row r="238" spans="1:9" x14ac:dyDescent="0.25">
      <c r="A238">
        <v>2020</v>
      </c>
      <c r="B238">
        <v>21</v>
      </c>
      <c r="C238" t="s">
        <v>100</v>
      </c>
      <c r="D238" s="10">
        <v>4430414</v>
      </c>
      <c r="E238" s="49">
        <f t="shared" si="3"/>
        <v>15.304003591379397</v>
      </c>
      <c r="F238">
        <v>4</v>
      </c>
      <c r="G238">
        <v>0</v>
      </c>
      <c r="H238" t="s">
        <v>5</v>
      </c>
      <c r="I238">
        <v>1</v>
      </c>
    </row>
    <row r="239" spans="1:9" x14ac:dyDescent="0.25">
      <c r="A239">
        <v>2020</v>
      </c>
      <c r="B239">
        <v>22</v>
      </c>
      <c r="C239" t="s">
        <v>103</v>
      </c>
      <c r="D239" s="10">
        <v>2768053.92</v>
      </c>
      <c r="E239" s="49">
        <f t="shared" si="3"/>
        <v>14.833655075298756</v>
      </c>
      <c r="F239">
        <v>19</v>
      </c>
      <c r="G239">
        <v>0</v>
      </c>
      <c r="H239" t="s">
        <v>5</v>
      </c>
      <c r="I239">
        <v>1</v>
      </c>
    </row>
    <row r="240" spans="1:9" x14ac:dyDescent="0.25">
      <c r="A240">
        <v>2020</v>
      </c>
      <c r="B240">
        <v>23</v>
      </c>
      <c r="C240" t="s">
        <v>107</v>
      </c>
      <c r="D240" s="10">
        <v>2282229</v>
      </c>
      <c r="E240" s="49">
        <f t="shared" si="3"/>
        <v>14.640663154939052</v>
      </c>
      <c r="F240">
        <v>8</v>
      </c>
      <c r="G240">
        <v>0</v>
      </c>
      <c r="H240" t="s">
        <v>66</v>
      </c>
      <c r="I240">
        <v>0</v>
      </c>
    </row>
    <row r="241" spans="1:9" x14ac:dyDescent="0.25">
      <c r="A241">
        <v>2020</v>
      </c>
      <c r="B241">
        <v>24</v>
      </c>
      <c r="C241" t="s">
        <v>117</v>
      </c>
      <c r="D241" s="10">
        <v>3570942.15</v>
      </c>
      <c r="E241" s="49">
        <f t="shared" si="3"/>
        <v>15.088340026501372</v>
      </c>
      <c r="F241">
        <v>11</v>
      </c>
      <c r="G241">
        <v>0</v>
      </c>
      <c r="H241" t="s">
        <v>17</v>
      </c>
      <c r="I241">
        <v>1</v>
      </c>
    </row>
    <row r="242" spans="1:9" x14ac:dyDescent="0.25">
      <c r="A242">
        <v>2020</v>
      </c>
      <c r="B242">
        <v>25</v>
      </c>
      <c r="C242" t="s">
        <v>120</v>
      </c>
      <c r="D242" s="10">
        <v>5180155</v>
      </c>
      <c r="E242" s="49">
        <f t="shared" si="3"/>
        <v>15.46034553656791</v>
      </c>
      <c r="F242">
        <v>18</v>
      </c>
      <c r="G242">
        <v>0</v>
      </c>
      <c r="H242" t="s">
        <v>66</v>
      </c>
      <c r="I242">
        <v>0</v>
      </c>
    </row>
    <row r="243" spans="1:9" x14ac:dyDescent="0.25">
      <c r="A243">
        <v>2020</v>
      </c>
      <c r="B243">
        <v>26</v>
      </c>
      <c r="C243" t="s">
        <v>123</v>
      </c>
      <c r="D243" s="10">
        <v>5650307.21</v>
      </c>
      <c r="E243" s="49">
        <f t="shared" si="3"/>
        <v>15.547220475095768</v>
      </c>
      <c r="F243">
        <v>13</v>
      </c>
      <c r="G243">
        <v>0</v>
      </c>
      <c r="H243" t="s">
        <v>5</v>
      </c>
      <c r="I243">
        <v>1</v>
      </c>
    </row>
    <row r="244" spans="1:9" x14ac:dyDescent="0.25">
      <c r="A244">
        <v>2020</v>
      </c>
      <c r="B244">
        <v>27</v>
      </c>
      <c r="C244" t="s">
        <v>129</v>
      </c>
      <c r="D244" s="10">
        <v>17781156</v>
      </c>
      <c r="E244" s="49">
        <f t="shared" si="3"/>
        <v>16.693649802809418</v>
      </c>
      <c r="F244">
        <v>18</v>
      </c>
      <c r="G244">
        <v>0</v>
      </c>
      <c r="H244" t="s">
        <v>124</v>
      </c>
      <c r="I244">
        <v>1</v>
      </c>
    </row>
    <row r="245" spans="1:9" x14ac:dyDescent="0.25">
      <c r="A245">
        <v>2020</v>
      </c>
      <c r="B245">
        <v>28</v>
      </c>
      <c r="C245" t="s">
        <v>132</v>
      </c>
      <c r="D245" s="10">
        <v>2768321</v>
      </c>
      <c r="E245" s="49">
        <f t="shared" si="3"/>
        <v>14.833751557203996</v>
      </c>
      <c r="F245">
        <v>27</v>
      </c>
      <c r="G245">
        <v>0</v>
      </c>
      <c r="H245" t="s">
        <v>30</v>
      </c>
      <c r="I245">
        <v>0</v>
      </c>
    </row>
    <row r="246" spans="1:9" x14ac:dyDescent="0.25">
      <c r="A246">
        <v>2020</v>
      </c>
      <c r="B246">
        <v>29</v>
      </c>
      <c r="C246" t="s">
        <v>137</v>
      </c>
      <c r="D246" s="10">
        <v>22002000</v>
      </c>
      <c r="E246" s="49">
        <f t="shared" si="3"/>
        <v>16.906643916281517</v>
      </c>
      <c r="F246">
        <v>15</v>
      </c>
      <c r="G246">
        <v>0</v>
      </c>
      <c r="H246" t="s">
        <v>134</v>
      </c>
      <c r="I246">
        <v>0</v>
      </c>
    </row>
    <row r="247" spans="1:9" x14ac:dyDescent="0.25">
      <c r="A247">
        <v>2020</v>
      </c>
      <c r="B247">
        <v>30</v>
      </c>
      <c r="C247" t="s">
        <v>140</v>
      </c>
      <c r="D247" s="10">
        <v>5955000</v>
      </c>
      <c r="E247" s="49">
        <f t="shared" si="3"/>
        <v>15.599741760771538</v>
      </c>
      <c r="F247">
        <v>26</v>
      </c>
      <c r="G247">
        <v>0</v>
      </c>
      <c r="H247" t="s">
        <v>136</v>
      </c>
      <c r="I247">
        <v>1</v>
      </c>
    </row>
    <row r="248" spans="1:9" x14ac:dyDescent="0.25">
      <c r="A248">
        <v>2020</v>
      </c>
      <c r="B248">
        <v>31</v>
      </c>
      <c r="C248" t="s">
        <v>143</v>
      </c>
      <c r="D248" s="10">
        <v>23876709</v>
      </c>
      <c r="E248" s="49">
        <f t="shared" si="3"/>
        <v>16.988414022921091</v>
      </c>
      <c r="F248">
        <v>34</v>
      </c>
      <c r="G248">
        <v>0</v>
      </c>
      <c r="H248" t="s">
        <v>51</v>
      </c>
      <c r="I248">
        <v>0</v>
      </c>
    </row>
    <row r="249" spans="1:9" x14ac:dyDescent="0.25">
      <c r="A249">
        <v>2020</v>
      </c>
      <c r="B249">
        <v>32</v>
      </c>
      <c r="C249" t="s">
        <v>146</v>
      </c>
      <c r="D249" s="10">
        <v>11498000</v>
      </c>
      <c r="E249" s="49">
        <f t="shared" si="3"/>
        <v>16.257683665165374</v>
      </c>
      <c r="F249">
        <v>23</v>
      </c>
      <c r="G249">
        <v>0</v>
      </c>
      <c r="H249" t="s">
        <v>144</v>
      </c>
      <c r="I249">
        <v>1</v>
      </c>
    </row>
    <row r="250" spans="1:9" x14ac:dyDescent="0.25">
      <c r="A250">
        <v>2020</v>
      </c>
      <c r="B250">
        <v>33</v>
      </c>
      <c r="C250" t="s">
        <v>154</v>
      </c>
      <c r="D250" s="10">
        <v>2728080.41</v>
      </c>
      <c r="E250" s="49">
        <f t="shared" si="3"/>
        <v>14.819108773317538</v>
      </c>
      <c r="F250">
        <v>13</v>
      </c>
      <c r="G250">
        <v>0</v>
      </c>
      <c r="H250" t="s">
        <v>147</v>
      </c>
      <c r="I250">
        <v>0</v>
      </c>
    </row>
    <row r="251" spans="1:9" x14ac:dyDescent="0.25">
      <c r="A251">
        <v>2020</v>
      </c>
      <c r="B251">
        <v>34</v>
      </c>
      <c r="C251" t="s">
        <v>156</v>
      </c>
      <c r="D251" s="10">
        <v>2487591</v>
      </c>
      <c r="E251" s="49">
        <f t="shared" si="3"/>
        <v>14.726825330260318</v>
      </c>
      <c r="F251">
        <v>13</v>
      </c>
      <c r="G251">
        <v>0</v>
      </c>
      <c r="H251" t="s">
        <v>66</v>
      </c>
      <c r="I251">
        <v>0</v>
      </c>
    </row>
    <row r="252" spans="1:9" x14ac:dyDescent="0.25">
      <c r="A252">
        <v>2020</v>
      </c>
      <c r="B252">
        <v>35</v>
      </c>
      <c r="C252" t="s">
        <v>163</v>
      </c>
      <c r="D252" s="10">
        <v>4486622</v>
      </c>
      <c r="E252" s="49">
        <f t="shared" si="3"/>
        <v>15.316610638039714</v>
      </c>
      <c r="F252">
        <v>7</v>
      </c>
      <c r="G252">
        <v>0</v>
      </c>
      <c r="H252" t="s">
        <v>5</v>
      </c>
      <c r="I252">
        <v>1</v>
      </c>
    </row>
    <row r="253" spans="1:9" x14ac:dyDescent="0.25">
      <c r="A253">
        <v>2020</v>
      </c>
      <c r="B253">
        <v>36</v>
      </c>
      <c r="C253" t="s">
        <v>165</v>
      </c>
      <c r="D253" s="10">
        <v>11109042</v>
      </c>
      <c r="E253" s="49">
        <f t="shared" si="3"/>
        <v>16.223269929275048</v>
      </c>
      <c r="F253">
        <v>17</v>
      </c>
      <c r="G253">
        <v>0</v>
      </c>
      <c r="H253" t="s">
        <v>5</v>
      </c>
      <c r="I253">
        <v>1</v>
      </c>
    </row>
    <row r="254" spans="1:9" x14ac:dyDescent="0.25">
      <c r="A254">
        <v>2020</v>
      </c>
      <c r="B254">
        <v>37</v>
      </c>
      <c r="C254" t="s">
        <v>168</v>
      </c>
      <c r="D254" s="10">
        <v>31224222.760000002</v>
      </c>
      <c r="E254" s="49">
        <f t="shared" si="3"/>
        <v>17.25670472207284</v>
      </c>
      <c r="F254">
        <v>40</v>
      </c>
      <c r="G254">
        <v>0</v>
      </c>
      <c r="H254" t="s">
        <v>166</v>
      </c>
      <c r="I254">
        <v>1</v>
      </c>
    </row>
    <row r="255" spans="1:9" x14ac:dyDescent="0.25">
      <c r="A255">
        <v>2020</v>
      </c>
      <c r="B255">
        <v>38</v>
      </c>
      <c r="C255" t="s">
        <v>173</v>
      </c>
      <c r="D255" s="10">
        <v>2105440.29</v>
      </c>
      <c r="E255" s="49">
        <f t="shared" si="3"/>
        <v>14.560035167122388</v>
      </c>
      <c r="F255">
        <v>55</v>
      </c>
      <c r="G255">
        <v>0</v>
      </c>
      <c r="H255" t="s">
        <v>171</v>
      </c>
      <c r="I255">
        <v>1</v>
      </c>
    </row>
    <row r="256" spans="1:9" x14ac:dyDescent="0.25">
      <c r="A256">
        <v>2020</v>
      </c>
      <c r="B256">
        <v>39</v>
      </c>
      <c r="C256" t="s">
        <v>176</v>
      </c>
      <c r="D256" s="10">
        <v>171116268.04999998</v>
      </c>
      <c r="E256" s="49">
        <f t="shared" si="3"/>
        <v>18.957853813536136</v>
      </c>
      <c r="F256">
        <v>26</v>
      </c>
      <c r="G256">
        <v>0</v>
      </c>
      <c r="H256" t="s">
        <v>171</v>
      </c>
      <c r="I256">
        <v>1</v>
      </c>
    </row>
    <row r="257" spans="1:9" x14ac:dyDescent="0.25">
      <c r="A257">
        <v>2020</v>
      </c>
      <c r="B257">
        <v>40</v>
      </c>
      <c r="C257" t="s">
        <v>180</v>
      </c>
      <c r="D257" s="10">
        <v>89600590</v>
      </c>
      <c r="E257" s="49">
        <f t="shared" si="3"/>
        <v>18.310872462744907</v>
      </c>
      <c r="F257">
        <v>71</v>
      </c>
      <c r="G257">
        <v>0</v>
      </c>
      <c r="H257" t="s">
        <v>17</v>
      </c>
      <c r="I257">
        <v>1</v>
      </c>
    </row>
    <row r="258" spans="1:9" x14ac:dyDescent="0.25">
      <c r="A258">
        <v>2020</v>
      </c>
      <c r="B258">
        <v>41</v>
      </c>
      <c r="C258" t="s">
        <v>183</v>
      </c>
      <c r="D258" s="10">
        <v>8387112</v>
      </c>
      <c r="E258" s="49">
        <f t="shared" si="3"/>
        <v>15.942206799877622</v>
      </c>
      <c r="F258">
        <v>38</v>
      </c>
      <c r="G258">
        <v>0</v>
      </c>
      <c r="H258" t="s">
        <v>181</v>
      </c>
      <c r="I258">
        <v>1</v>
      </c>
    </row>
    <row r="259" spans="1:9" x14ac:dyDescent="0.25">
      <c r="A259">
        <v>2020</v>
      </c>
      <c r="B259">
        <v>42</v>
      </c>
      <c r="C259" t="s">
        <v>187</v>
      </c>
      <c r="D259" s="10">
        <v>160635000</v>
      </c>
      <c r="E259" s="49">
        <f t="shared" ref="E259:E289" si="4">LN(D259)</f>
        <v>18.89464526848522</v>
      </c>
      <c r="F259">
        <v>21</v>
      </c>
      <c r="G259">
        <v>0</v>
      </c>
      <c r="H259" t="s">
        <v>185</v>
      </c>
      <c r="I259">
        <v>1</v>
      </c>
    </row>
    <row r="260" spans="1:9" x14ac:dyDescent="0.25">
      <c r="A260">
        <v>2020</v>
      </c>
      <c r="B260">
        <v>43</v>
      </c>
      <c r="C260" t="s">
        <v>190</v>
      </c>
      <c r="D260" s="10">
        <v>64413000</v>
      </c>
      <c r="E260" s="49">
        <f t="shared" si="4"/>
        <v>17.980826034056953</v>
      </c>
      <c r="F260">
        <v>27</v>
      </c>
      <c r="G260">
        <v>0</v>
      </c>
      <c r="H260" t="s">
        <v>5</v>
      </c>
      <c r="I260">
        <v>1</v>
      </c>
    </row>
    <row r="261" spans="1:9" x14ac:dyDescent="0.25">
      <c r="A261">
        <v>2020</v>
      </c>
      <c r="B261">
        <v>44</v>
      </c>
      <c r="C261" t="s">
        <v>194</v>
      </c>
      <c r="D261" s="10">
        <v>77082.89</v>
      </c>
      <c r="E261" s="49">
        <f t="shared" si="4"/>
        <v>11.252636615338671</v>
      </c>
      <c r="F261">
        <v>22</v>
      </c>
      <c r="G261">
        <v>0</v>
      </c>
      <c r="H261" t="s">
        <v>192</v>
      </c>
      <c r="I261">
        <v>0</v>
      </c>
    </row>
    <row r="262" spans="1:9" x14ac:dyDescent="0.25">
      <c r="A262">
        <v>2020</v>
      </c>
      <c r="B262">
        <v>45</v>
      </c>
      <c r="C262" t="s">
        <v>197</v>
      </c>
      <c r="D262" s="10">
        <v>10192469</v>
      </c>
      <c r="E262" s="49">
        <f t="shared" si="4"/>
        <v>16.137159672218871</v>
      </c>
      <c r="F262">
        <v>33</v>
      </c>
      <c r="G262">
        <v>1</v>
      </c>
      <c r="H262" t="s">
        <v>195</v>
      </c>
      <c r="I262">
        <v>0</v>
      </c>
    </row>
    <row r="263" spans="1:9" x14ac:dyDescent="0.25">
      <c r="A263">
        <v>2020</v>
      </c>
      <c r="B263">
        <v>46</v>
      </c>
      <c r="C263" t="s">
        <v>202</v>
      </c>
      <c r="D263" s="10">
        <v>46918301</v>
      </c>
      <c r="E263" s="49">
        <f t="shared" si="4"/>
        <v>17.663918370522744</v>
      </c>
      <c r="F263">
        <v>20</v>
      </c>
      <c r="G263">
        <v>1</v>
      </c>
      <c r="H263" t="s">
        <v>5</v>
      </c>
      <c r="I263">
        <v>1</v>
      </c>
    </row>
    <row r="264" spans="1:9" x14ac:dyDescent="0.25">
      <c r="A264">
        <v>2020</v>
      </c>
      <c r="B264">
        <v>47</v>
      </c>
      <c r="C264" t="s">
        <v>205</v>
      </c>
      <c r="D264" s="10">
        <v>29187000</v>
      </c>
      <c r="E264" s="49">
        <f t="shared" si="4"/>
        <v>17.189233962625675</v>
      </c>
      <c r="F264">
        <v>72</v>
      </c>
      <c r="G264">
        <v>1</v>
      </c>
      <c r="H264" t="s">
        <v>5</v>
      </c>
      <c r="I264">
        <v>1</v>
      </c>
    </row>
    <row r="265" spans="1:9" x14ac:dyDescent="0.25">
      <c r="A265">
        <v>2020</v>
      </c>
      <c r="B265">
        <v>48</v>
      </c>
      <c r="C265" t="s">
        <v>208</v>
      </c>
      <c r="D265" s="10">
        <v>30813824</v>
      </c>
      <c r="E265" s="49">
        <f t="shared" si="4"/>
        <v>17.243473978418052</v>
      </c>
      <c r="F265">
        <v>10</v>
      </c>
      <c r="G265">
        <v>1</v>
      </c>
      <c r="H265" t="s">
        <v>147</v>
      </c>
      <c r="I265">
        <v>0</v>
      </c>
    </row>
    <row r="266" spans="1:9" x14ac:dyDescent="0.25">
      <c r="A266">
        <v>2020</v>
      </c>
      <c r="B266">
        <v>49</v>
      </c>
      <c r="C266" t="s">
        <v>217</v>
      </c>
      <c r="D266" s="10">
        <v>34419000</v>
      </c>
      <c r="E266" s="49">
        <f t="shared" si="4"/>
        <v>17.35411929544939</v>
      </c>
      <c r="F266">
        <v>28</v>
      </c>
      <c r="G266">
        <v>1</v>
      </c>
      <c r="H266" t="s">
        <v>5</v>
      </c>
      <c r="I266">
        <v>1</v>
      </c>
    </row>
    <row r="267" spans="1:9" x14ac:dyDescent="0.25">
      <c r="A267">
        <v>2020</v>
      </c>
      <c r="B267">
        <v>50</v>
      </c>
      <c r="C267" t="s">
        <v>222</v>
      </c>
      <c r="D267" s="10">
        <v>7300818</v>
      </c>
      <c r="E267" s="49">
        <f t="shared" si="4"/>
        <v>15.80349695463547</v>
      </c>
      <c r="F267">
        <v>52</v>
      </c>
      <c r="G267">
        <v>0</v>
      </c>
      <c r="H267" t="s">
        <v>17</v>
      </c>
      <c r="I267">
        <v>1</v>
      </c>
    </row>
    <row r="268" spans="1:9" x14ac:dyDescent="0.25">
      <c r="A268">
        <v>2020</v>
      </c>
      <c r="B268">
        <v>51</v>
      </c>
      <c r="C268" t="s">
        <v>225</v>
      </c>
      <c r="D268" s="10">
        <v>7615000</v>
      </c>
      <c r="E268" s="49">
        <f t="shared" si="4"/>
        <v>15.845630544311399</v>
      </c>
      <c r="F268">
        <v>29</v>
      </c>
      <c r="G268">
        <v>0</v>
      </c>
      <c r="H268" t="s">
        <v>223</v>
      </c>
      <c r="I268">
        <v>0</v>
      </c>
    </row>
    <row r="269" spans="1:9" x14ac:dyDescent="0.25">
      <c r="A269">
        <v>2020</v>
      </c>
      <c r="B269">
        <v>52</v>
      </c>
      <c r="C269" t="s">
        <v>405</v>
      </c>
      <c r="D269" s="10">
        <v>23940633</v>
      </c>
      <c r="E269" s="49">
        <f t="shared" si="4"/>
        <v>16.991087698847299</v>
      </c>
      <c r="F269">
        <v>10</v>
      </c>
      <c r="G269">
        <v>0</v>
      </c>
      <c r="H269" t="s">
        <v>5</v>
      </c>
      <c r="I269">
        <v>1</v>
      </c>
    </row>
    <row r="270" spans="1:9" x14ac:dyDescent="0.25">
      <c r="A270">
        <v>2020</v>
      </c>
      <c r="B270">
        <v>53</v>
      </c>
      <c r="C270" t="s">
        <v>233</v>
      </c>
      <c r="D270" s="10">
        <v>10870293.029999999</v>
      </c>
      <c r="E270" s="49">
        <f t="shared" si="4"/>
        <v>16.201544216415734</v>
      </c>
      <c r="F270">
        <v>31</v>
      </c>
      <c r="G270">
        <v>0</v>
      </c>
      <c r="H270" t="s">
        <v>5</v>
      </c>
      <c r="I270">
        <v>1</v>
      </c>
    </row>
    <row r="271" spans="1:9" x14ac:dyDescent="0.25">
      <c r="A271">
        <v>2020</v>
      </c>
      <c r="B271">
        <v>54</v>
      </c>
      <c r="C271" t="s">
        <v>237</v>
      </c>
      <c r="D271" s="10">
        <v>5771014</v>
      </c>
      <c r="E271" s="49">
        <f t="shared" si="4"/>
        <v>15.568358359612878</v>
      </c>
      <c r="F271">
        <v>24</v>
      </c>
      <c r="G271">
        <v>0</v>
      </c>
      <c r="H271" t="s">
        <v>5</v>
      </c>
      <c r="I271">
        <v>1</v>
      </c>
    </row>
    <row r="272" spans="1:9" x14ac:dyDescent="0.25">
      <c r="A272">
        <v>2020</v>
      </c>
      <c r="B272">
        <v>55</v>
      </c>
      <c r="C272" t="s">
        <v>244</v>
      </c>
      <c r="D272" s="10">
        <v>10056779.51</v>
      </c>
      <c r="E272" s="49">
        <f t="shared" si="4"/>
        <v>16.123757543153271</v>
      </c>
      <c r="F272">
        <v>23</v>
      </c>
      <c r="G272">
        <v>0</v>
      </c>
      <c r="H272" t="s">
        <v>239</v>
      </c>
      <c r="I272">
        <v>0</v>
      </c>
    </row>
    <row r="273" spans="1:9" x14ac:dyDescent="0.25">
      <c r="A273">
        <v>2020</v>
      </c>
      <c r="B273">
        <v>56</v>
      </c>
      <c r="C273" t="s">
        <v>248</v>
      </c>
      <c r="D273" s="10">
        <v>5425690</v>
      </c>
      <c r="E273" s="49">
        <f t="shared" si="4"/>
        <v>15.506655638243062</v>
      </c>
      <c r="F273">
        <v>69</v>
      </c>
      <c r="G273">
        <v>0</v>
      </c>
      <c r="H273" t="s">
        <v>245</v>
      </c>
      <c r="I273">
        <v>0</v>
      </c>
    </row>
    <row r="274" spans="1:9" x14ac:dyDescent="0.25">
      <c r="A274">
        <v>2020</v>
      </c>
      <c r="B274">
        <v>57</v>
      </c>
      <c r="C274" t="s">
        <v>251</v>
      </c>
      <c r="D274" s="10">
        <v>4904944.5199999996</v>
      </c>
      <c r="E274" s="49">
        <f t="shared" si="4"/>
        <v>15.405754340010395</v>
      </c>
      <c r="F274">
        <v>17</v>
      </c>
      <c r="G274">
        <v>0</v>
      </c>
      <c r="H274" t="s">
        <v>5</v>
      </c>
      <c r="I274">
        <v>1</v>
      </c>
    </row>
    <row r="275" spans="1:9" x14ac:dyDescent="0.25">
      <c r="A275">
        <v>2020</v>
      </c>
      <c r="B275">
        <v>58</v>
      </c>
      <c r="C275" t="s">
        <v>255</v>
      </c>
      <c r="D275" s="10">
        <v>12005516.09</v>
      </c>
      <c r="E275" s="49">
        <f t="shared" si="4"/>
        <v>16.300876776301138</v>
      </c>
      <c r="F275">
        <v>30</v>
      </c>
      <c r="G275">
        <v>0</v>
      </c>
      <c r="H275" t="s">
        <v>253</v>
      </c>
      <c r="I275">
        <v>0</v>
      </c>
    </row>
    <row r="276" spans="1:9" x14ac:dyDescent="0.25">
      <c r="A276">
        <v>2020</v>
      </c>
      <c r="B276">
        <v>59</v>
      </c>
      <c r="C276" t="s">
        <v>258</v>
      </c>
      <c r="D276" s="10">
        <v>11685911</v>
      </c>
      <c r="E276" s="49">
        <f t="shared" si="4"/>
        <v>16.273894486116809</v>
      </c>
      <c r="F276">
        <v>76</v>
      </c>
      <c r="G276">
        <v>0</v>
      </c>
      <c r="H276" t="s">
        <v>5</v>
      </c>
      <c r="I276">
        <v>1</v>
      </c>
    </row>
    <row r="277" spans="1:9" x14ac:dyDescent="0.25">
      <c r="A277">
        <v>2020</v>
      </c>
      <c r="B277">
        <v>60</v>
      </c>
      <c r="C277" t="s">
        <v>261</v>
      </c>
      <c r="D277" s="10">
        <v>9091935</v>
      </c>
      <c r="E277" s="49">
        <f t="shared" si="4"/>
        <v>16.022898314786914</v>
      </c>
      <c r="F277">
        <v>20</v>
      </c>
      <c r="G277">
        <v>0</v>
      </c>
      <c r="H277" t="s">
        <v>5</v>
      </c>
      <c r="I277">
        <v>1</v>
      </c>
    </row>
    <row r="278" spans="1:9" x14ac:dyDescent="0.25">
      <c r="A278">
        <v>2020</v>
      </c>
      <c r="B278">
        <v>61</v>
      </c>
      <c r="C278" t="s">
        <v>264</v>
      </c>
      <c r="D278" s="10">
        <v>11444676</v>
      </c>
      <c r="E278" s="49">
        <f t="shared" si="4"/>
        <v>16.253035201662716</v>
      </c>
      <c r="F278">
        <v>54</v>
      </c>
      <c r="G278">
        <v>0</v>
      </c>
      <c r="H278" t="s">
        <v>17</v>
      </c>
      <c r="I278">
        <v>1</v>
      </c>
    </row>
    <row r="279" spans="1:9" x14ac:dyDescent="0.25">
      <c r="A279">
        <v>2020</v>
      </c>
      <c r="B279">
        <v>62</v>
      </c>
      <c r="C279" t="s">
        <v>270</v>
      </c>
      <c r="D279" s="10">
        <v>2155777</v>
      </c>
      <c r="E279" s="49">
        <f t="shared" si="4"/>
        <v>14.583661773379534</v>
      </c>
      <c r="F279">
        <v>18</v>
      </c>
      <c r="G279">
        <v>0</v>
      </c>
      <c r="H279" t="s">
        <v>35</v>
      </c>
      <c r="I279">
        <v>1</v>
      </c>
    </row>
    <row r="280" spans="1:9" x14ac:dyDescent="0.25">
      <c r="A280">
        <v>2020</v>
      </c>
      <c r="B280">
        <v>63</v>
      </c>
      <c r="C280" t="s">
        <v>406</v>
      </c>
      <c r="D280" s="10">
        <v>10464409</v>
      </c>
      <c r="E280" s="49">
        <f t="shared" si="4"/>
        <v>16.163490438306702</v>
      </c>
      <c r="F280">
        <v>19</v>
      </c>
      <c r="G280">
        <v>0</v>
      </c>
      <c r="H280" t="s">
        <v>5</v>
      </c>
      <c r="I280">
        <v>1</v>
      </c>
    </row>
    <row r="281" spans="1:9" x14ac:dyDescent="0.25">
      <c r="A281">
        <v>2020</v>
      </c>
      <c r="B281">
        <v>64</v>
      </c>
      <c r="C281" t="s">
        <v>281</v>
      </c>
      <c r="D281" s="10">
        <v>39713323.140000001</v>
      </c>
      <c r="E281" s="49">
        <f t="shared" si="4"/>
        <v>17.497197284823852</v>
      </c>
      <c r="F281">
        <v>26</v>
      </c>
      <c r="G281">
        <v>0</v>
      </c>
      <c r="H281" t="s">
        <v>273</v>
      </c>
      <c r="I281">
        <v>0</v>
      </c>
    </row>
    <row r="282" spans="1:9" x14ac:dyDescent="0.25">
      <c r="A282">
        <v>2020</v>
      </c>
      <c r="B282">
        <v>65</v>
      </c>
      <c r="C282" t="s">
        <v>289</v>
      </c>
      <c r="D282" s="10">
        <v>8514181.2400000002</v>
      </c>
      <c r="E282" s="49">
        <f t="shared" si="4"/>
        <v>15.957243712435183</v>
      </c>
      <c r="F282">
        <v>42</v>
      </c>
      <c r="G282">
        <v>0</v>
      </c>
      <c r="H282" t="s">
        <v>17</v>
      </c>
      <c r="I282">
        <v>1</v>
      </c>
    </row>
    <row r="283" spans="1:9" x14ac:dyDescent="0.25">
      <c r="A283">
        <v>2020</v>
      </c>
      <c r="B283">
        <v>66</v>
      </c>
      <c r="C283" t="s">
        <v>295</v>
      </c>
      <c r="D283" s="10">
        <v>21102528.09</v>
      </c>
      <c r="E283" s="49">
        <f t="shared" si="4"/>
        <v>16.86490340596103</v>
      </c>
      <c r="F283">
        <v>16</v>
      </c>
      <c r="G283">
        <v>0</v>
      </c>
      <c r="H283" t="s">
        <v>5</v>
      </c>
      <c r="I283">
        <v>1</v>
      </c>
    </row>
    <row r="284" spans="1:9" x14ac:dyDescent="0.25">
      <c r="A284">
        <v>2020</v>
      </c>
      <c r="B284">
        <v>67</v>
      </c>
      <c r="C284" t="s">
        <v>300</v>
      </c>
      <c r="D284" s="10">
        <v>77309479</v>
      </c>
      <c r="E284" s="49">
        <f t="shared" si="4"/>
        <v>18.163327132171634</v>
      </c>
      <c r="F284">
        <v>49</v>
      </c>
      <c r="G284">
        <v>0</v>
      </c>
      <c r="H284" t="s">
        <v>297</v>
      </c>
      <c r="I284">
        <v>0</v>
      </c>
    </row>
    <row r="285" spans="1:9" x14ac:dyDescent="0.25">
      <c r="A285">
        <v>2020</v>
      </c>
      <c r="B285">
        <v>68</v>
      </c>
      <c r="C285" t="s">
        <v>304</v>
      </c>
      <c r="D285" s="10">
        <v>67240970</v>
      </c>
      <c r="E285" s="49">
        <f t="shared" si="4"/>
        <v>18.023793292337579</v>
      </c>
      <c r="F285">
        <v>16</v>
      </c>
      <c r="G285">
        <v>0</v>
      </c>
      <c r="H285" t="s">
        <v>5</v>
      </c>
      <c r="I285">
        <v>1</v>
      </c>
    </row>
    <row r="286" spans="1:9" x14ac:dyDescent="0.25">
      <c r="A286">
        <v>2020</v>
      </c>
      <c r="B286">
        <v>69</v>
      </c>
      <c r="C286" t="s">
        <v>308</v>
      </c>
      <c r="D286" s="10">
        <v>2366726.73</v>
      </c>
      <c r="E286" s="49">
        <f t="shared" si="4"/>
        <v>14.677018431894636</v>
      </c>
      <c r="F286">
        <v>51</v>
      </c>
      <c r="G286">
        <v>0</v>
      </c>
      <c r="H286" t="s">
        <v>5</v>
      </c>
      <c r="I286">
        <v>1</v>
      </c>
    </row>
    <row r="287" spans="1:9" x14ac:dyDescent="0.25">
      <c r="A287">
        <v>2020</v>
      </c>
      <c r="B287">
        <v>70</v>
      </c>
      <c r="C287" t="s">
        <v>311</v>
      </c>
      <c r="D287" s="10">
        <v>15458000</v>
      </c>
      <c r="E287" s="49">
        <f t="shared" si="4"/>
        <v>16.553637226648952</v>
      </c>
      <c r="F287">
        <v>8</v>
      </c>
      <c r="G287">
        <v>0</v>
      </c>
      <c r="H287" t="s">
        <v>51</v>
      </c>
      <c r="I287">
        <v>0</v>
      </c>
    </row>
    <row r="288" spans="1:9" x14ac:dyDescent="0.25">
      <c r="A288">
        <v>2020</v>
      </c>
      <c r="B288">
        <v>71</v>
      </c>
      <c r="C288" t="s">
        <v>407</v>
      </c>
      <c r="D288" s="10">
        <v>8789577.7400000002</v>
      </c>
      <c r="E288" s="49">
        <f t="shared" si="4"/>
        <v>15.989077229827148</v>
      </c>
      <c r="F288">
        <v>51</v>
      </c>
      <c r="G288">
        <v>0</v>
      </c>
      <c r="H288" t="s">
        <v>5</v>
      </c>
      <c r="I288">
        <v>1</v>
      </c>
    </row>
    <row r="289" spans="1:9" x14ac:dyDescent="0.25">
      <c r="A289">
        <v>2020</v>
      </c>
      <c r="B289">
        <v>72</v>
      </c>
      <c r="C289" t="s">
        <v>408</v>
      </c>
      <c r="D289" s="10">
        <v>4018319</v>
      </c>
      <c r="E289" s="49">
        <f t="shared" si="4"/>
        <v>15.206374213938284</v>
      </c>
      <c r="F289">
        <v>32</v>
      </c>
      <c r="G289">
        <v>0</v>
      </c>
      <c r="H289" t="s">
        <v>192</v>
      </c>
      <c r="I289">
        <v>0</v>
      </c>
    </row>
    <row r="290" spans="1:9" x14ac:dyDescent="0.25">
      <c r="D290" s="10">
        <f>SUM(D2:D289)</f>
        <v>7685191769.3200026</v>
      </c>
    </row>
    <row r="291" spans="1:9" x14ac:dyDescent="0.25">
      <c r="D291" s="10">
        <f>AVERAGE(D2:D289)</f>
        <v>26684693.643472232</v>
      </c>
    </row>
    <row r="292" spans="1:9" x14ac:dyDescent="0.25">
      <c r="D292">
        <f xml:space="preserve"> LN(D291)</f>
        <v>17.099600687207317</v>
      </c>
      <c r="E292">
        <v>2.3553000000000001E-2</v>
      </c>
    </row>
    <row r="293" spans="1:9" x14ac:dyDescent="0.25">
      <c r="D293" s="10">
        <f>STDEVPA(D2:D289)</f>
        <v>67336727.325798377</v>
      </c>
      <c r="E293">
        <f>EXP(E292)</f>
        <v>1.0238325624344908</v>
      </c>
    </row>
    <row r="294" spans="1:9" x14ac:dyDescent="0.25">
      <c r="D294">
        <f>LN(D293)</f>
        <v>18.025216371255727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J13" sqref="J13"/>
    </sheetView>
  </sheetViews>
  <sheetFormatPr defaultRowHeight="15" x14ac:dyDescent="0.25"/>
  <cols>
    <col min="1" max="1" width="10.5703125" bestFit="1" customWidth="1"/>
    <col min="2" max="2" width="10.42578125" bestFit="1" customWidth="1"/>
    <col min="3" max="3" width="11.5703125" bestFit="1" customWidth="1"/>
    <col min="4" max="4" width="18.28515625" bestFit="1" customWidth="1"/>
    <col min="5" max="5" width="9" bestFit="1" customWidth="1"/>
    <col min="6" max="6" width="4" bestFit="1" customWidth="1"/>
  </cols>
  <sheetData>
    <row r="2" spans="1:6" ht="31.5" x14ac:dyDescent="0.25">
      <c r="A2" s="104" t="s">
        <v>409</v>
      </c>
      <c r="B2" s="105" t="s">
        <v>410</v>
      </c>
      <c r="C2" s="105" t="s">
        <v>411</v>
      </c>
      <c r="D2" s="105" t="s">
        <v>412</v>
      </c>
      <c r="E2" s="105" t="s">
        <v>413</v>
      </c>
      <c r="F2" s="106"/>
    </row>
    <row r="3" spans="1:6" ht="31.5" x14ac:dyDescent="0.25">
      <c r="A3" s="107" t="s">
        <v>414</v>
      </c>
      <c r="B3" s="108">
        <v>15.074400000000001</v>
      </c>
      <c r="C3" s="108">
        <v>0.195469</v>
      </c>
      <c r="D3" s="108">
        <v>77.12</v>
      </c>
      <c r="E3" s="108" t="s">
        <v>415</v>
      </c>
      <c r="F3" s="106" t="s">
        <v>416</v>
      </c>
    </row>
    <row r="4" spans="1:6" ht="31.5" x14ac:dyDescent="0.25">
      <c r="A4" s="107" t="s">
        <v>401</v>
      </c>
      <c r="B4" s="108">
        <v>2.35532E-2</v>
      </c>
      <c r="C4" s="108">
        <v>4.2460299999999996E-3</v>
      </c>
      <c r="D4" s="108">
        <v>5.5469999999999997</v>
      </c>
      <c r="E4" s="108" t="s">
        <v>415</v>
      </c>
      <c r="F4" s="106" t="s">
        <v>416</v>
      </c>
    </row>
    <row r="5" spans="1:6" ht="31.5" x14ac:dyDescent="0.25">
      <c r="A5" s="107" t="s">
        <v>402</v>
      </c>
      <c r="B5" s="108" t="s">
        <v>417</v>
      </c>
      <c r="C5" s="108">
        <v>0.56794699999999998</v>
      </c>
      <c r="D5" s="108" t="s">
        <v>418</v>
      </c>
      <c r="E5" s="108">
        <v>0.63419999999999999</v>
      </c>
      <c r="F5" s="106"/>
    </row>
    <row r="6" spans="1:6" ht="15.75" x14ac:dyDescent="0.25">
      <c r="A6" s="107" t="s">
        <v>419</v>
      </c>
      <c r="B6" s="108">
        <v>0.27160899999999999</v>
      </c>
      <c r="C6" s="108">
        <v>0.186835</v>
      </c>
      <c r="D6" s="108">
        <v>1.454</v>
      </c>
      <c r="E6" s="108">
        <v>0.14710000000000001</v>
      </c>
      <c r="F6" s="106"/>
    </row>
    <row r="7" spans="1:6" ht="15.75" x14ac:dyDescent="0.25">
      <c r="A7" s="109"/>
      <c r="B7" s="110"/>
      <c r="C7" s="110"/>
      <c r="D7" s="110"/>
      <c r="E7" s="111"/>
      <c r="F7" s="112"/>
    </row>
    <row r="8" spans="1:6" x14ac:dyDescent="0.25">
      <c r="A8" s="113" t="s">
        <v>420</v>
      </c>
      <c r="B8" s="114">
        <v>0.102713</v>
      </c>
      <c r="C8" s="114"/>
      <c r="D8" s="114" t="s">
        <v>421</v>
      </c>
      <c r="E8" s="115">
        <v>9.3234999999999998E-2</v>
      </c>
    </row>
    <row r="9" spans="1:6" x14ac:dyDescent="0.25">
      <c r="A9" s="113" t="s">
        <v>422</v>
      </c>
      <c r="B9" s="114">
        <v>11.35385</v>
      </c>
      <c r="C9" s="114"/>
      <c r="D9" s="114" t="s">
        <v>423</v>
      </c>
      <c r="E9" s="116">
        <v>4.6899999999999998E-7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6"/>
  <sheetViews>
    <sheetView zoomScale="63" zoomScaleNormal="63" workbookViewId="0">
      <pane xSplit="6" ySplit="3" topLeftCell="K16" activePane="bottomRight" state="frozen"/>
      <selection pane="topRight" activeCell="G1" sqref="G1"/>
      <selection pane="bottomLeft" activeCell="A4" sqref="A4"/>
      <selection pane="bottomRight" activeCell="P10" sqref="P10:W10"/>
    </sheetView>
  </sheetViews>
  <sheetFormatPr defaultRowHeight="15" x14ac:dyDescent="0.25"/>
  <cols>
    <col min="1" max="1" width="27.7109375" style="1" customWidth="1"/>
    <col min="2" max="2" width="25" style="1" customWidth="1"/>
    <col min="3" max="3" width="40.85546875" style="1" customWidth="1"/>
    <col min="4" max="5" width="22.28515625" customWidth="1"/>
    <col min="6" max="6" width="21.28515625" customWidth="1"/>
    <col min="7" max="7" width="21.140625" customWidth="1"/>
    <col min="8" max="23" width="17.85546875" customWidth="1"/>
    <col min="24" max="27" width="17.85546875" hidden="1" customWidth="1"/>
    <col min="28" max="35" width="17.85546875" customWidth="1"/>
    <col min="36" max="37" width="15.5703125" style="40" customWidth="1"/>
    <col min="38" max="38" width="24.7109375" style="40" customWidth="1"/>
    <col min="39" max="39" width="11.5703125" style="40" customWidth="1"/>
    <col min="40" max="40" width="22.140625" style="40" bestFit="1" customWidth="1"/>
  </cols>
  <sheetData>
    <row r="1" spans="1:41" s="3" customFormat="1" ht="213" customHeight="1" thickBot="1" x14ac:dyDescent="0.3">
      <c r="A1" s="6" t="s">
        <v>12</v>
      </c>
      <c r="B1" s="7" t="s">
        <v>0</v>
      </c>
      <c r="C1" s="2" t="s">
        <v>364</v>
      </c>
      <c r="D1" s="2" t="s">
        <v>343</v>
      </c>
      <c r="E1" s="2" t="s">
        <v>344</v>
      </c>
      <c r="F1" s="2" t="s">
        <v>345</v>
      </c>
      <c r="G1" s="2" t="s">
        <v>346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351</v>
      </c>
      <c r="Q1" s="2" t="s">
        <v>352</v>
      </c>
      <c r="R1" s="2" t="s">
        <v>353</v>
      </c>
      <c r="S1" s="2" t="s">
        <v>354</v>
      </c>
      <c r="T1" s="2" t="s">
        <v>355</v>
      </c>
      <c r="U1" s="2" t="s">
        <v>356</v>
      </c>
      <c r="V1" s="2" t="s">
        <v>357</v>
      </c>
      <c r="W1" s="2" t="s">
        <v>358</v>
      </c>
      <c r="X1" s="2" t="s">
        <v>76</v>
      </c>
      <c r="Y1" s="2" t="s">
        <v>77</v>
      </c>
      <c r="Z1" s="2" t="s">
        <v>78</v>
      </c>
      <c r="AA1" s="2" t="s">
        <v>79</v>
      </c>
      <c r="AB1" s="2" t="s">
        <v>1</v>
      </c>
      <c r="AC1" s="2" t="s">
        <v>2</v>
      </c>
      <c r="AD1" s="2" t="s">
        <v>10</v>
      </c>
      <c r="AE1" s="2" t="s">
        <v>11</v>
      </c>
      <c r="AF1" s="2" t="s">
        <v>80</v>
      </c>
      <c r="AG1" s="2" t="s">
        <v>81</v>
      </c>
      <c r="AH1" s="2" t="s">
        <v>82</v>
      </c>
      <c r="AI1" s="2" t="s">
        <v>83</v>
      </c>
      <c r="AJ1" s="37" t="s">
        <v>15</v>
      </c>
      <c r="AK1" s="37" t="s">
        <v>16</v>
      </c>
      <c r="AL1" s="38" t="s">
        <v>359</v>
      </c>
      <c r="AM1" s="37" t="s">
        <v>3</v>
      </c>
      <c r="AN1" s="37" t="s">
        <v>4</v>
      </c>
    </row>
    <row r="2" spans="1:41" s="15" customFormat="1" ht="30" x14ac:dyDescent="0.25">
      <c r="A2" s="11" t="s">
        <v>6</v>
      </c>
      <c r="B2" s="12" t="s">
        <v>7</v>
      </c>
      <c r="C2" s="13" t="s">
        <v>62</v>
      </c>
      <c r="D2" s="14">
        <f>15269906+213422+5915048+92109+51322+98346</f>
        <v>21640153</v>
      </c>
      <c r="E2" s="14">
        <f>20109509+5075248+96983+225912+186784+84496</f>
        <v>25778932</v>
      </c>
      <c r="F2" s="14">
        <f>20815958+3030+6258367+102737+361344+338241+53236</f>
        <v>27932913</v>
      </c>
      <c r="G2" s="14">
        <f>26586126+13179+9743488+155600+1822775+278296+1115558</f>
        <v>39715022</v>
      </c>
      <c r="H2" s="14">
        <f>177606+119878</f>
        <v>297484</v>
      </c>
      <c r="I2" s="14">
        <f>0+198678</f>
        <v>198678</v>
      </c>
      <c r="J2" s="14">
        <f>332343</f>
        <v>332343</v>
      </c>
      <c r="K2" s="14">
        <f>1158411</f>
        <v>1158411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>
        <v>21491291</v>
      </c>
      <c r="AC2" s="14">
        <v>25495788</v>
      </c>
      <c r="AD2" s="14">
        <v>30649693</v>
      </c>
      <c r="AE2" s="14">
        <v>42920202</v>
      </c>
      <c r="AF2" s="14">
        <f>8756469+472599</f>
        <v>9229068</v>
      </c>
      <c r="AG2" s="14">
        <f>8963867+498145</f>
        <v>9462012</v>
      </c>
      <c r="AH2" s="14">
        <f>8940051+555549</f>
        <v>9495600</v>
      </c>
      <c r="AI2" s="14">
        <f>250000+9767183+748478</f>
        <v>10765661</v>
      </c>
      <c r="AJ2" s="39">
        <v>1959</v>
      </c>
      <c r="AK2" s="39">
        <f>2021-AJ2</f>
        <v>62</v>
      </c>
      <c r="AL2" s="39">
        <v>1</v>
      </c>
      <c r="AM2" s="39">
        <v>1</v>
      </c>
      <c r="AN2" s="39" t="s">
        <v>8</v>
      </c>
    </row>
    <row r="3" spans="1:41" s="15" customFormat="1" ht="60" x14ac:dyDescent="0.25">
      <c r="A3" s="11" t="s">
        <v>14</v>
      </c>
      <c r="B3" s="12" t="s">
        <v>13</v>
      </c>
      <c r="C3" s="16" t="s">
        <v>22</v>
      </c>
      <c r="D3" s="14">
        <f>46042024+107131+476160</f>
        <v>46625315</v>
      </c>
      <c r="E3" s="14">
        <f>43906640+71165+216217</f>
        <v>44194022</v>
      </c>
      <c r="F3" s="14">
        <f>66864317+95318+78623</f>
        <v>67038258</v>
      </c>
      <c r="G3" s="14">
        <f>76886926+110834</f>
        <v>76997760</v>
      </c>
      <c r="H3" s="14">
        <v>104891</v>
      </c>
      <c r="I3" s="14">
        <v>70268</v>
      </c>
      <c r="J3" s="14">
        <v>89473</v>
      </c>
      <c r="K3" s="14">
        <v>0</v>
      </c>
      <c r="L3" s="14">
        <v>7548802</v>
      </c>
      <c r="M3" s="14">
        <v>9207179</v>
      </c>
      <c r="N3" s="14">
        <v>30863197</v>
      </c>
      <c r="O3" s="14">
        <v>16843924</v>
      </c>
      <c r="P3" s="14"/>
      <c r="Q3" s="14"/>
      <c r="R3" s="14"/>
      <c r="S3" s="14"/>
      <c r="T3" s="14"/>
      <c r="U3" s="14"/>
      <c r="V3" s="14"/>
      <c r="W3" s="14"/>
      <c r="X3" s="14">
        <v>3483175</v>
      </c>
      <c r="Y3" s="14">
        <v>3287949</v>
      </c>
      <c r="Z3" s="14">
        <v>3370759</v>
      </c>
      <c r="AA3" s="14">
        <v>5395572</v>
      </c>
      <c r="AB3" s="14"/>
      <c r="AC3" s="14"/>
      <c r="AD3" s="14"/>
      <c r="AE3" s="14"/>
      <c r="AF3" s="14"/>
      <c r="AG3" s="14"/>
      <c r="AH3" s="14"/>
      <c r="AI3" s="14"/>
      <c r="AJ3" s="44">
        <v>1975</v>
      </c>
      <c r="AK3" s="44">
        <f t="shared" ref="AK3:AK53" si="0">2021-AJ3</f>
        <v>46</v>
      </c>
      <c r="AL3" s="44">
        <v>1</v>
      </c>
      <c r="AM3" s="44">
        <v>1</v>
      </c>
      <c r="AN3" s="44" t="s">
        <v>17</v>
      </c>
      <c r="AO3" s="79"/>
    </row>
    <row r="4" spans="1:41" s="15" customFormat="1" ht="75" x14ac:dyDescent="0.25">
      <c r="A4" s="11" t="s">
        <v>25</v>
      </c>
      <c r="B4" s="36" t="s">
        <v>24</v>
      </c>
      <c r="C4" s="16" t="s">
        <v>336</v>
      </c>
      <c r="D4" s="14">
        <f>2598916+154946+89118</f>
        <v>2842980</v>
      </c>
      <c r="E4" s="14">
        <f>2546210+13673+57457</f>
        <v>2617340</v>
      </c>
      <c r="F4" s="14">
        <f>2899072+43946</f>
        <v>2943018</v>
      </c>
      <c r="G4" s="14">
        <f>1581079+14358</f>
        <v>1595437</v>
      </c>
      <c r="H4" s="14">
        <v>0</v>
      </c>
      <c r="I4" s="14">
        <f>57457-37856</f>
        <v>19601</v>
      </c>
      <c r="J4" s="14">
        <f>43946-32470</f>
        <v>11476</v>
      </c>
      <c r="K4" s="14">
        <v>0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>
        <v>1197743</v>
      </c>
      <c r="AC4" s="14">
        <v>1103378</v>
      </c>
      <c r="AD4" s="14">
        <v>1133198</v>
      </c>
      <c r="AE4" s="14">
        <v>1137074</v>
      </c>
      <c r="AF4" s="14">
        <v>10295</v>
      </c>
      <c r="AG4" s="14">
        <v>24445</v>
      </c>
      <c r="AH4" s="14">
        <v>25350</v>
      </c>
      <c r="AI4" s="14">
        <v>18471</v>
      </c>
      <c r="AJ4" s="39">
        <v>2002</v>
      </c>
      <c r="AK4" s="39">
        <f t="shared" si="0"/>
        <v>19</v>
      </c>
      <c r="AL4" s="39">
        <v>3</v>
      </c>
      <c r="AM4" s="39">
        <v>1</v>
      </c>
      <c r="AN4" s="39" t="s">
        <v>5</v>
      </c>
    </row>
    <row r="5" spans="1:41" s="15" customFormat="1" ht="43.15" customHeight="1" x14ac:dyDescent="0.25">
      <c r="A5" s="11" t="s">
        <v>27</v>
      </c>
      <c r="B5" s="12" t="s">
        <v>26</v>
      </c>
      <c r="C5" s="16" t="s">
        <v>320</v>
      </c>
      <c r="D5" s="14">
        <f>13856+8953</f>
        <v>22809</v>
      </c>
      <c r="E5" s="14">
        <f>12750+7969</f>
        <v>20719</v>
      </c>
      <c r="F5" s="14">
        <f>11294+9923</f>
        <v>21217</v>
      </c>
      <c r="G5" s="14">
        <f>13356+5268</f>
        <v>18624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39">
        <v>1986</v>
      </c>
      <c r="AK5" s="39">
        <f t="shared" si="0"/>
        <v>35</v>
      </c>
      <c r="AL5" s="39">
        <v>4</v>
      </c>
      <c r="AM5" s="39">
        <v>2</v>
      </c>
      <c r="AN5" s="39" t="s">
        <v>5</v>
      </c>
    </row>
    <row r="6" spans="1:41" s="15" customFormat="1" ht="45" x14ac:dyDescent="0.25">
      <c r="A6" s="11" t="s">
        <v>29</v>
      </c>
      <c r="B6" s="12" t="s">
        <v>28</v>
      </c>
      <c r="C6" s="16" t="s">
        <v>319</v>
      </c>
      <c r="D6" s="14">
        <f>621054.58+436319.5</f>
        <v>1057374.08</v>
      </c>
      <c r="E6" s="14">
        <v>1617713.15</v>
      </c>
      <c r="F6" s="14">
        <v>2004589.11</v>
      </c>
      <c r="G6" s="14">
        <v>1779549.14</v>
      </c>
      <c r="H6" s="14">
        <v>0</v>
      </c>
      <c r="I6" s="14">
        <f>29315.91-27787.85</f>
        <v>1528.0600000000013</v>
      </c>
      <c r="J6" s="14">
        <f>33994.92-20084.19</f>
        <v>13910.73</v>
      </c>
      <c r="K6" s="14">
        <v>0</v>
      </c>
      <c r="L6" s="14">
        <v>0</v>
      </c>
      <c r="M6" s="14">
        <v>0</v>
      </c>
      <c r="N6" s="14">
        <v>0</v>
      </c>
      <c r="O6" s="14">
        <v>3172.61</v>
      </c>
      <c r="P6" s="14">
        <v>621054.57999999996</v>
      </c>
      <c r="Q6" s="14">
        <v>685706.49</v>
      </c>
      <c r="R6" s="14">
        <v>994030.11</v>
      </c>
      <c r="S6" s="14">
        <v>698220.46</v>
      </c>
      <c r="T6" s="14">
        <v>436319.5</v>
      </c>
      <c r="U6" s="14">
        <v>932006.66</v>
      </c>
      <c r="V6" s="14">
        <v>1010558.92</v>
      </c>
      <c r="W6" s="14">
        <v>1081328.68</v>
      </c>
      <c r="X6" s="14"/>
      <c r="Y6" s="14"/>
      <c r="Z6" s="14"/>
      <c r="AA6" s="14"/>
      <c r="AB6" s="14">
        <v>966009.99</v>
      </c>
      <c r="AC6" s="14">
        <v>1230538.08</v>
      </c>
      <c r="AD6" s="14">
        <v>1833568.08</v>
      </c>
      <c r="AE6" s="14">
        <v>2179503.94</v>
      </c>
      <c r="AF6" s="14">
        <v>425253.64</v>
      </c>
      <c r="AG6" s="14">
        <v>747228.06</v>
      </c>
      <c r="AH6" s="14">
        <v>796839.52</v>
      </c>
      <c r="AI6" s="14">
        <v>767007.3</v>
      </c>
      <c r="AJ6" s="39">
        <v>2005</v>
      </c>
      <c r="AK6" s="39">
        <f t="shared" si="0"/>
        <v>16</v>
      </c>
      <c r="AL6" s="39">
        <v>2</v>
      </c>
      <c r="AM6" s="39">
        <v>1</v>
      </c>
      <c r="AN6" s="39" t="s">
        <v>30</v>
      </c>
    </row>
    <row r="7" spans="1:41" s="15" customFormat="1" ht="57.6" customHeight="1" x14ac:dyDescent="0.25">
      <c r="A7" s="11" t="s">
        <v>32</v>
      </c>
      <c r="B7" s="12" t="s">
        <v>31</v>
      </c>
      <c r="C7" s="16" t="s">
        <v>321</v>
      </c>
      <c r="D7" s="14">
        <f>2205415+78618</f>
        <v>2284033</v>
      </c>
      <c r="E7" s="14">
        <f>3020478+56416+31437</f>
        <v>3108331</v>
      </c>
      <c r="F7" s="14">
        <f>3884059+51621+13781</f>
        <v>3949461</v>
      </c>
      <c r="G7" s="14">
        <v>10243000</v>
      </c>
      <c r="H7" s="14">
        <v>58661</v>
      </c>
      <c r="I7" s="14">
        <v>32835</v>
      </c>
      <c r="J7" s="14">
        <v>34984</v>
      </c>
      <c r="K7" s="14" t="s">
        <v>115</v>
      </c>
      <c r="L7" s="14" t="s">
        <v>115</v>
      </c>
      <c r="M7" s="14">
        <v>22620</v>
      </c>
      <c r="N7" s="14">
        <v>19024</v>
      </c>
      <c r="O7" s="14" t="s">
        <v>115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>
        <v>7058506</v>
      </c>
      <c r="AC7" s="14">
        <v>13790119</v>
      </c>
      <c r="AD7" s="14">
        <v>13361210</v>
      </c>
      <c r="AE7" s="14" t="s">
        <v>115</v>
      </c>
      <c r="AF7" s="14">
        <v>85079</v>
      </c>
      <c r="AG7" s="14">
        <v>74074</v>
      </c>
      <c r="AH7" s="14">
        <v>80142</v>
      </c>
      <c r="AI7" s="14" t="s">
        <v>115</v>
      </c>
      <c r="AJ7" s="44">
        <v>2008</v>
      </c>
      <c r="AK7" s="44">
        <f t="shared" si="0"/>
        <v>13</v>
      </c>
      <c r="AL7" s="44">
        <v>5</v>
      </c>
      <c r="AM7" s="44">
        <v>1</v>
      </c>
      <c r="AN7" s="44" t="s">
        <v>5</v>
      </c>
    </row>
    <row r="8" spans="1:41" s="15" customFormat="1" ht="45" x14ac:dyDescent="0.25">
      <c r="A8" s="11" t="s">
        <v>34</v>
      </c>
      <c r="B8" s="12" t="s">
        <v>33</v>
      </c>
      <c r="C8" s="16" t="s">
        <v>322</v>
      </c>
      <c r="D8" s="14">
        <f>6562000+1814000</f>
        <v>8376000</v>
      </c>
      <c r="E8" s="14">
        <f>5950000+1375000</f>
        <v>7325000</v>
      </c>
      <c r="F8" s="14">
        <f>5601000+2406000</f>
        <v>8007000</v>
      </c>
      <c r="G8" s="14">
        <f>8113000+2683000</f>
        <v>10796000</v>
      </c>
      <c r="H8" s="14">
        <f>1814000-167000</f>
        <v>1647000</v>
      </c>
      <c r="I8" s="14">
        <f>1375000-402000</f>
        <v>973000</v>
      </c>
      <c r="J8" s="14">
        <f>2406000-86000</f>
        <v>2320000</v>
      </c>
      <c r="K8" s="14">
        <f>2683000-1505000</f>
        <v>1178000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21778000</v>
      </c>
      <c r="AC8" s="14">
        <v>21250000</v>
      </c>
      <c r="AD8" s="14">
        <v>22676000</v>
      </c>
      <c r="AE8" s="14">
        <v>25872000</v>
      </c>
      <c r="AF8" s="14">
        <f>12291000</f>
        <v>12291000</v>
      </c>
      <c r="AG8" s="14">
        <v>12039000</v>
      </c>
      <c r="AH8" s="14">
        <f>12208000-199000</f>
        <v>12009000</v>
      </c>
      <c r="AI8" s="14">
        <f>11481000-564000</f>
        <v>10917000</v>
      </c>
      <c r="AJ8" s="39">
        <v>1971</v>
      </c>
      <c r="AK8" s="39">
        <f t="shared" si="0"/>
        <v>50</v>
      </c>
      <c r="AL8" s="39">
        <v>1</v>
      </c>
      <c r="AM8" s="39">
        <v>1</v>
      </c>
      <c r="AN8" s="39" t="s">
        <v>35</v>
      </c>
    </row>
    <row r="9" spans="1:41" s="15" customFormat="1" ht="30" x14ac:dyDescent="0.25">
      <c r="A9" s="11" t="s">
        <v>37</v>
      </c>
      <c r="B9" s="12" t="s">
        <v>36</v>
      </c>
      <c r="C9" s="16" t="s">
        <v>323</v>
      </c>
      <c r="D9" s="14">
        <f>416533333+31383836+3927932</f>
        <v>451845101</v>
      </c>
      <c r="E9" s="14">
        <f>449419873+73731783+5622511</f>
        <v>528774167</v>
      </c>
      <c r="F9" s="14">
        <f>496569266+28703337+6069730</f>
        <v>531342333</v>
      </c>
      <c r="G9" s="14">
        <f>563866182+35805474+6882002</f>
        <v>606553658</v>
      </c>
      <c r="H9" s="14">
        <v>0</v>
      </c>
      <c r="I9" s="14">
        <v>0</v>
      </c>
      <c r="J9" s="14">
        <v>0</v>
      </c>
      <c r="K9" s="14">
        <v>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666343637</v>
      </c>
      <c r="AC9" s="14">
        <v>687017062</v>
      </c>
      <c r="AD9" s="14">
        <v>708541040</v>
      </c>
      <c r="AE9" s="14">
        <v>749681830</v>
      </c>
      <c r="AF9" s="14">
        <v>525371704</v>
      </c>
      <c r="AG9" s="14">
        <v>533776124</v>
      </c>
      <c r="AH9" s="14">
        <v>548877027</v>
      </c>
      <c r="AI9" s="14">
        <v>556562648</v>
      </c>
      <c r="AJ9" s="39">
        <v>1899</v>
      </c>
      <c r="AK9" s="39">
        <f t="shared" si="0"/>
        <v>122</v>
      </c>
      <c r="AL9" s="39">
        <v>3</v>
      </c>
      <c r="AM9" s="39">
        <v>1</v>
      </c>
      <c r="AN9" s="39" t="s">
        <v>17</v>
      </c>
    </row>
    <row r="10" spans="1:41" s="15" customFormat="1" ht="60" x14ac:dyDescent="0.25">
      <c r="A10" s="11" t="s">
        <v>41</v>
      </c>
      <c r="B10" s="12" t="s">
        <v>40</v>
      </c>
      <c r="C10" s="16" t="s">
        <v>324</v>
      </c>
      <c r="D10" s="14">
        <v>1094376.68</v>
      </c>
      <c r="E10" s="14">
        <f>674635.04+107168.51+105192.17</f>
        <v>886995.72000000009</v>
      </c>
      <c r="F10" s="14">
        <v>1145744.24</v>
      </c>
      <c r="G10" s="14">
        <v>1123478.67</v>
      </c>
      <c r="H10" s="14">
        <f>18112.46-10129.46</f>
        <v>7983</v>
      </c>
      <c r="I10" s="14">
        <f>6997.05-6318.9</f>
        <v>678.15000000000055</v>
      </c>
      <c r="J10" s="14">
        <f>14863.68-6085.02</f>
        <v>8778.66</v>
      </c>
      <c r="K10" s="14">
        <f>8123.55-4602.38</f>
        <v>3521.17</v>
      </c>
      <c r="L10" s="14">
        <v>12742.71</v>
      </c>
      <c r="M10" s="14">
        <v>20505</v>
      </c>
      <c r="N10" s="14">
        <v>11973.21</v>
      </c>
      <c r="O10" s="14">
        <v>13990.69</v>
      </c>
      <c r="P10" s="14">
        <v>179103.7</v>
      </c>
      <c r="Q10" s="14">
        <v>105192.17</v>
      </c>
      <c r="R10" s="14">
        <v>136624.01999999999</v>
      </c>
      <c r="S10" s="14">
        <v>142047.41</v>
      </c>
      <c r="T10" s="14">
        <f>D10-P10</f>
        <v>915272.98</v>
      </c>
      <c r="U10" s="14">
        <f>E10-Q10</f>
        <v>781803.55</v>
      </c>
      <c r="V10" s="14">
        <f>F10-R10</f>
        <v>1009120.22</v>
      </c>
      <c r="W10" s="14">
        <f>G10-S10</f>
        <v>981431.25999999989</v>
      </c>
      <c r="X10" s="14"/>
      <c r="Y10" s="14"/>
      <c r="Z10" s="14"/>
      <c r="AA10" s="14"/>
      <c r="AB10" s="14">
        <v>990902.94</v>
      </c>
      <c r="AC10" s="14">
        <v>972577.91</v>
      </c>
      <c r="AD10" s="14">
        <v>1127449.3</v>
      </c>
      <c r="AE10" s="14">
        <v>1241601.77</v>
      </c>
      <c r="AF10" s="14">
        <v>518711.84</v>
      </c>
      <c r="AG10" s="14">
        <f>798217.05-266665.3</f>
        <v>531551.75</v>
      </c>
      <c r="AH10" s="14">
        <v>496531.27</v>
      </c>
      <c r="AI10" s="14">
        <v>459938.38</v>
      </c>
      <c r="AJ10" s="39">
        <v>1999</v>
      </c>
      <c r="AK10" s="39">
        <f t="shared" si="0"/>
        <v>22</v>
      </c>
      <c r="AL10" s="39">
        <v>3</v>
      </c>
      <c r="AM10" s="39">
        <v>1</v>
      </c>
      <c r="AN10" s="39" t="s">
        <v>42</v>
      </c>
    </row>
    <row r="11" spans="1:41" s="15" customFormat="1" ht="45" x14ac:dyDescent="0.25">
      <c r="A11" s="11" t="s">
        <v>44</v>
      </c>
      <c r="B11" s="12" t="s">
        <v>43</v>
      </c>
      <c r="C11" s="16" t="s">
        <v>45</v>
      </c>
      <c r="D11" s="14">
        <f>33484805+1961551</f>
        <v>35446356</v>
      </c>
      <c r="E11" s="14">
        <f>35598840+1223638</f>
        <v>36822478</v>
      </c>
      <c r="F11" s="14">
        <v>40897745.600000001</v>
      </c>
      <c r="G11" s="14">
        <v>34555422.799999997</v>
      </c>
      <c r="H11" s="14">
        <f>1961551-151975</f>
        <v>1809576</v>
      </c>
      <c r="I11" s="14">
        <f>1223638-115689</f>
        <v>1107949</v>
      </c>
      <c r="J11" s="14">
        <f>1151418.75-286358.66-32476.97</f>
        <v>832583.12000000011</v>
      </c>
      <c r="K11" s="14">
        <f>628062.65-59450.59-135265.83</f>
        <v>433346.2300000001</v>
      </c>
      <c r="L11" s="14">
        <v>0</v>
      </c>
      <c r="M11" s="14">
        <v>0</v>
      </c>
      <c r="N11" s="14">
        <v>56000</v>
      </c>
      <c r="O11" s="14"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>
        <v>25742478</v>
      </c>
      <c r="AC11" s="14">
        <v>24861895</v>
      </c>
      <c r="AD11" s="14">
        <v>26319288.920000002</v>
      </c>
      <c r="AE11" s="14">
        <v>28487910.510000002</v>
      </c>
      <c r="AF11" s="14">
        <v>1319622</v>
      </c>
      <c r="AG11" s="14">
        <v>1686515</v>
      </c>
      <c r="AH11" s="14">
        <v>2101366.13</v>
      </c>
      <c r="AI11" s="14">
        <v>2481878.4</v>
      </c>
      <c r="AJ11" s="39">
        <v>2002</v>
      </c>
      <c r="AK11" s="39">
        <f t="shared" si="0"/>
        <v>19</v>
      </c>
      <c r="AL11" s="39">
        <v>1</v>
      </c>
      <c r="AM11" s="39">
        <v>1</v>
      </c>
      <c r="AN11" s="39" t="s">
        <v>17</v>
      </c>
    </row>
    <row r="12" spans="1:41" s="22" customFormat="1" ht="120" x14ac:dyDescent="0.25">
      <c r="A12" s="18" t="s">
        <v>325</v>
      </c>
      <c r="B12" s="19" t="s">
        <v>326</v>
      </c>
      <c r="C12" s="20" t="s">
        <v>328</v>
      </c>
      <c r="D12" s="41" t="s">
        <v>115</v>
      </c>
      <c r="E12" s="21">
        <f>2172000+81000</f>
        <v>2253000</v>
      </c>
      <c r="F12" s="21">
        <f>1666000+52000</f>
        <v>1718000</v>
      </c>
      <c r="G12" s="21">
        <f>847342+186</f>
        <v>847528</v>
      </c>
      <c r="H12" s="21">
        <v>0</v>
      </c>
      <c r="I12" s="21">
        <f>41000</f>
        <v>41000</v>
      </c>
      <c r="J12" s="21">
        <f>52000-11000</f>
        <v>41000</v>
      </c>
      <c r="K12" s="21">
        <v>0</v>
      </c>
      <c r="L12" s="21"/>
      <c r="M12" s="21"/>
      <c r="N12" s="21"/>
      <c r="O12" s="21"/>
      <c r="P12" s="41" t="s">
        <v>115</v>
      </c>
      <c r="Q12" s="21">
        <f>1166000+23000</f>
        <v>1189000</v>
      </c>
      <c r="R12" s="21">
        <f>771000+18000</f>
        <v>789000</v>
      </c>
      <c r="S12" s="21">
        <v>88070</v>
      </c>
      <c r="T12" s="41" t="s">
        <v>115</v>
      </c>
      <c r="U12" s="21">
        <f>639000+344000</f>
        <v>983000</v>
      </c>
      <c r="V12" s="21">
        <f>403000+474000</f>
        <v>877000</v>
      </c>
      <c r="W12" s="21">
        <v>759273</v>
      </c>
      <c r="X12" s="21"/>
      <c r="Y12" s="21"/>
      <c r="Z12" s="21"/>
      <c r="AA12" s="21"/>
      <c r="AB12" s="41" t="s">
        <v>115</v>
      </c>
      <c r="AC12" s="21">
        <v>1542000</v>
      </c>
      <c r="AD12" s="21">
        <v>330000</v>
      </c>
      <c r="AE12" s="21">
        <v>263567</v>
      </c>
      <c r="AF12" s="41" t="s">
        <v>115</v>
      </c>
      <c r="AG12" s="21">
        <v>189000</v>
      </c>
      <c r="AH12" s="21">
        <v>171000</v>
      </c>
      <c r="AI12" s="21">
        <v>147655</v>
      </c>
      <c r="AJ12" s="39">
        <v>1995</v>
      </c>
      <c r="AK12" s="39">
        <f t="shared" si="0"/>
        <v>26</v>
      </c>
      <c r="AL12" s="39">
        <v>1</v>
      </c>
      <c r="AM12" s="39">
        <v>1</v>
      </c>
      <c r="AN12" s="39" t="s">
        <v>327</v>
      </c>
    </row>
    <row r="13" spans="1:41" s="15" customFormat="1" ht="30" x14ac:dyDescent="0.25">
      <c r="A13" s="11" t="s">
        <v>47</v>
      </c>
      <c r="B13" s="12" t="s">
        <v>46</v>
      </c>
      <c r="C13" s="16" t="s">
        <v>329</v>
      </c>
      <c r="D13" s="14">
        <f>24424949+40906</f>
        <v>24465855</v>
      </c>
      <c r="E13" s="14">
        <f>22349358+63836</f>
        <v>22413194</v>
      </c>
      <c r="F13" s="14">
        <f>18530613+72329</f>
        <v>18602942</v>
      </c>
      <c r="G13" s="14">
        <f>15752317+1645453+1586778+936048+1050409+343529+9904+21744</f>
        <v>21346182</v>
      </c>
      <c r="H13" s="14">
        <v>0</v>
      </c>
      <c r="I13" s="14">
        <v>55117</v>
      </c>
      <c r="J13" s="14">
        <v>27651</v>
      </c>
      <c r="K13" s="14">
        <v>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>
        <v>3468102</v>
      </c>
      <c r="AC13" s="14">
        <v>5114798</v>
      </c>
      <c r="AD13" s="14">
        <v>4357331</v>
      </c>
      <c r="AE13" s="14">
        <v>6628509</v>
      </c>
      <c r="AF13" s="14">
        <v>794691</v>
      </c>
      <c r="AG13" s="14">
        <f>549640+17896</f>
        <v>567536</v>
      </c>
      <c r="AH13" s="14">
        <f>440230+65364</f>
        <v>505594</v>
      </c>
      <c r="AI13" s="14">
        <f>324318+63000</f>
        <v>387318</v>
      </c>
      <c r="AJ13" s="39">
        <v>1997</v>
      </c>
      <c r="AK13" s="39">
        <f t="shared" si="0"/>
        <v>24</v>
      </c>
      <c r="AL13" s="39">
        <v>5</v>
      </c>
      <c r="AM13" s="39">
        <v>1</v>
      </c>
      <c r="AN13" s="39" t="s">
        <v>48</v>
      </c>
    </row>
    <row r="14" spans="1:41" s="15" customFormat="1" ht="45" x14ac:dyDescent="0.25">
      <c r="A14" s="11" t="s">
        <v>49</v>
      </c>
      <c r="B14" s="12" t="s">
        <v>50</v>
      </c>
      <c r="C14" s="16" t="s">
        <v>330</v>
      </c>
      <c r="D14" s="14">
        <f>21675858+1233151+163120</f>
        <v>23072129</v>
      </c>
      <c r="E14" s="14">
        <f>20695204+695669+7500+44347+58717107801</f>
        <v>58738550521</v>
      </c>
      <c r="F14" s="14">
        <f>23694752+556606+35114+130372+49554</f>
        <v>24466398</v>
      </c>
      <c r="G14" s="14">
        <f>220695+683+94799+29893789</f>
        <v>30209966</v>
      </c>
      <c r="H14" s="14">
        <f>1207477</f>
        <v>1207477</v>
      </c>
      <c r="I14" s="14">
        <f>663631+41936+58388</f>
        <v>763955</v>
      </c>
      <c r="J14" s="14">
        <f>556606+35114</f>
        <v>591720</v>
      </c>
      <c r="K14" s="14">
        <f>220695+683</f>
        <v>221378</v>
      </c>
      <c r="L14" s="14"/>
      <c r="M14" s="14"/>
      <c r="N14" s="14"/>
      <c r="O14" s="14"/>
      <c r="P14" s="14">
        <f>10342670</f>
        <v>10342670</v>
      </c>
      <c r="Q14" s="14">
        <v>8216662</v>
      </c>
      <c r="R14" s="14">
        <f>9390574</f>
        <v>9390574</v>
      </c>
      <c r="S14" s="14">
        <v>16355899</v>
      </c>
      <c r="T14" s="14">
        <f>11333187+163120</f>
        <v>11496307</v>
      </c>
      <c r="U14" s="14">
        <f>107801+12478541</f>
        <v>12586342</v>
      </c>
      <c r="V14" s="14">
        <f>14304178+130372+49554</f>
        <v>14484104</v>
      </c>
      <c r="W14" s="14">
        <f>94799+13537890</f>
        <v>13632689</v>
      </c>
      <c r="X14" s="14"/>
      <c r="Y14" s="14"/>
      <c r="Z14" s="14"/>
      <c r="AA14" s="14"/>
      <c r="AB14" s="14">
        <v>26368047</v>
      </c>
      <c r="AC14" s="14">
        <v>26786369</v>
      </c>
      <c r="AD14" s="14">
        <v>31685784</v>
      </c>
      <c r="AE14" s="14">
        <v>31675933</v>
      </c>
      <c r="AF14" s="14">
        <v>7070366</v>
      </c>
      <c r="AG14" s="14">
        <v>8489516</v>
      </c>
      <c r="AH14" s="14">
        <f>9243144+52380</f>
        <v>9295524</v>
      </c>
      <c r="AI14" s="14">
        <f>44903+10796737</f>
        <v>10841640</v>
      </c>
      <c r="AJ14" s="39">
        <v>1965</v>
      </c>
      <c r="AK14" s="39">
        <f t="shared" si="0"/>
        <v>56</v>
      </c>
      <c r="AL14" s="39">
        <v>1</v>
      </c>
      <c r="AM14" s="39">
        <v>1</v>
      </c>
      <c r="AN14" s="39" t="s">
        <v>51</v>
      </c>
    </row>
    <row r="15" spans="1:41" s="15" customFormat="1" ht="45" x14ac:dyDescent="0.25">
      <c r="A15" s="11" t="s">
        <v>55</v>
      </c>
      <c r="B15" s="12" t="s">
        <v>54</v>
      </c>
      <c r="C15" s="16" t="s">
        <v>56</v>
      </c>
      <c r="D15" s="14">
        <f>2482666</f>
        <v>2482666</v>
      </c>
      <c r="E15" s="14">
        <v>3428377</v>
      </c>
      <c r="F15" s="14">
        <f>3284348+13617</f>
        <v>3297965</v>
      </c>
      <c r="G15" s="14">
        <v>2210088</v>
      </c>
      <c r="H15" s="14">
        <v>0</v>
      </c>
      <c r="I15" s="14">
        <v>0</v>
      </c>
      <c r="J15" s="14">
        <v>13617</v>
      </c>
      <c r="K15" s="14">
        <v>0</v>
      </c>
      <c r="L15" s="14">
        <v>251688</v>
      </c>
      <c r="M15" s="14">
        <v>425674</v>
      </c>
      <c r="N15" s="14">
        <v>310782</v>
      </c>
      <c r="O15" s="14">
        <v>121827</v>
      </c>
      <c r="P15" s="14">
        <v>251688</v>
      </c>
      <c r="Q15" s="14">
        <v>425674</v>
      </c>
      <c r="R15" s="14">
        <v>310782</v>
      </c>
      <c r="S15" s="14">
        <v>121827</v>
      </c>
      <c r="T15" s="14">
        <v>2482666</v>
      </c>
      <c r="U15" s="14">
        <v>3002703</v>
      </c>
      <c r="V15" s="14">
        <v>2973566</v>
      </c>
      <c r="W15" s="14">
        <v>2088261</v>
      </c>
      <c r="X15" s="14"/>
      <c r="Y15" s="14"/>
      <c r="Z15" s="14"/>
      <c r="AA15" s="14"/>
      <c r="AB15" s="14">
        <v>1084387</v>
      </c>
      <c r="AC15" s="14">
        <v>1126759</v>
      </c>
      <c r="AD15" s="14">
        <v>1475355</v>
      </c>
      <c r="AE15" s="14">
        <v>1531605</v>
      </c>
      <c r="AF15" s="14">
        <v>180174</v>
      </c>
      <c r="AG15" s="14">
        <v>153003</v>
      </c>
      <c r="AH15" s="14">
        <v>170506</v>
      </c>
      <c r="AI15" s="14">
        <v>257854</v>
      </c>
      <c r="AJ15" s="39">
        <v>2006</v>
      </c>
      <c r="AK15" s="39">
        <f t="shared" si="0"/>
        <v>15</v>
      </c>
      <c r="AL15" s="39">
        <v>3</v>
      </c>
      <c r="AM15" s="39">
        <v>1</v>
      </c>
      <c r="AN15" s="39" t="s">
        <v>5</v>
      </c>
    </row>
    <row r="16" spans="1:41" s="15" customFormat="1" ht="30" x14ac:dyDescent="0.25">
      <c r="A16" s="11" t="s">
        <v>58</v>
      </c>
      <c r="B16" s="12" t="s">
        <v>57</v>
      </c>
      <c r="C16" s="16" t="s">
        <v>332</v>
      </c>
      <c r="D16" s="14">
        <f>2630977+386966+217603</f>
        <v>3235546</v>
      </c>
      <c r="E16" s="14">
        <f>2765477+251158</f>
        <v>3016635</v>
      </c>
      <c r="F16" s="14">
        <f>3726950+189617</f>
        <v>3916567</v>
      </c>
      <c r="G16" s="14">
        <f>2782826+191686</f>
        <v>2974512</v>
      </c>
      <c r="H16" s="14">
        <v>386966</v>
      </c>
      <c r="I16" s="14">
        <v>251158</v>
      </c>
      <c r="J16" s="14">
        <v>189617</v>
      </c>
      <c r="K16" s="14">
        <v>191686</v>
      </c>
      <c r="L16" s="14">
        <v>741711</v>
      </c>
      <c r="M16" s="14">
        <v>605611</v>
      </c>
      <c r="N16" s="14">
        <v>734461</v>
      </c>
      <c r="O16" s="14">
        <v>636054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>
        <v>4332199</v>
      </c>
      <c r="AC16" s="14">
        <v>5051142</v>
      </c>
      <c r="AD16" s="14">
        <v>4932697</v>
      </c>
      <c r="AE16" s="14">
        <v>5755113</v>
      </c>
      <c r="AF16" s="14">
        <f>46964+21361+3108723</f>
        <v>3177048</v>
      </c>
      <c r="AG16" s="14">
        <f>183606+17062+3305006</f>
        <v>3505674</v>
      </c>
      <c r="AH16" s="14">
        <v>3664712</v>
      </c>
      <c r="AI16" s="14">
        <v>3828175</v>
      </c>
      <c r="AJ16" s="39">
        <v>1997</v>
      </c>
      <c r="AK16" s="39">
        <f t="shared" si="0"/>
        <v>24</v>
      </c>
      <c r="AL16" s="39">
        <v>1</v>
      </c>
      <c r="AM16" s="39">
        <v>1</v>
      </c>
      <c r="AN16" s="39" t="s">
        <v>30</v>
      </c>
    </row>
    <row r="17" spans="1:40" s="15" customFormat="1" ht="75" x14ac:dyDescent="0.25">
      <c r="A17" s="11" t="s">
        <v>64</v>
      </c>
      <c r="B17" s="12" t="s">
        <v>63</v>
      </c>
      <c r="C17" s="16" t="s">
        <v>65</v>
      </c>
      <c r="D17" s="14">
        <f>4051081.48+4129841.43</f>
        <v>8180922.9100000001</v>
      </c>
      <c r="E17" s="14">
        <f>3187272.36+4717783.8</f>
        <v>7905056.1600000001</v>
      </c>
      <c r="F17" s="14">
        <v>9265069.7699999996</v>
      </c>
      <c r="G17" s="14">
        <v>8623485.0299999993</v>
      </c>
      <c r="H17" s="14">
        <f>265845.71-4891.03</f>
        <v>260954.68000000002</v>
      </c>
      <c r="I17" s="14">
        <f>142850.86-0</f>
        <v>142850.85999999999</v>
      </c>
      <c r="J17" s="14">
        <f>103717.95-4309.63</f>
        <v>99408.319999999992</v>
      </c>
      <c r="K17" s="14">
        <v>40209.660000000003</v>
      </c>
      <c r="L17" s="14">
        <f>807115.5+19932.82</f>
        <v>827048.32</v>
      </c>
      <c r="M17" s="14">
        <f>476625+476625</f>
        <v>953250</v>
      </c>
      <c r="N17" s="14">
        <f>457787.5+457787.5</f>
        <v>915575</v>
      </c>
      <c r="O17" s="14">
        <f>177663.75+177663.75</f>
        <v>355327.5</v>
      </c>
      <c r="P17" s="14">
        <v>4051081.48</v>
      </c>
      <c r="Q17" s="14">
        <v>3187272.36</v>
      </c>
      <c r="R17" s="14">
        <v>4949750.96</v>
      </c>
      <c r="S17" s="14">
        <v>3774057.79</v>
      </c>
      <c r="T17" s="14">
        <f>4129841.43-265845.71</f>
        <v>3863995.72</v>
      </c>
      <c r="U17" s="14">
        <f>4717783.8-142850.86</f>
        <v>4574932.9399999995</v>
      </c>
      <c r="V17" s="14">
        <f>4315318.81-103717.95</f>
        <v>4211600.8599999994</v>
      </c>
      <c r="W17" s="14">
        <f>4849427.24-40209.66</f>
        <v>4809217.58</v>
      </c>
      <c r="X17" s="14"/>
      <c r="Y17" s="14"/>
      <c r="Z17" s="14"/>
      <c r="AA17" s="14"/>
      <c r="AB17" s="14">
        <v>28933671.170000002</v>
      </c>
      <c r="AC17" s="14">
        <v>94437931.5</v>
      </c>
      <c r="AD17" s="14">
        <v>90723120.760000005</v>
      </c>
      <c r="AE17" s="14">
        <v>83114416.650000006</v>
      </c>
      <c r="AF17" s="14">
        <v>6073380.54</v>
      </c>
      <c r="AG17" s="14">
        <v>90761915.109999999</v>
      </c>
      <c r="AH17" s="14">
        <v>87894270.909999996</v>
      </c>
      <c r="AI17" s="14">
        <v>79687267.290000007</v>
      </c>
      <c r="AJ17" s="39">
        <v>1773</v>
      </c>
      <c r="AK17" s="39">
        <f t="shared" si="0"/>
        <v>248</v>
      </c>
      <c r="AL17" s="39">
        <v>1</v>
      </c>
      <c r="AM17" s="39">
        <v>1</v>
      </c>
      <c r="AN17" s="39" t="s">
        <v>66</v>
      </c>
    </row>
    <row r="18" spans="1:40" s="15" customFormat="1" ht="45" x14ac:dyDescent="0.25">
      <c r="A18" s="11" t="s">
        <v>70</v>
      </c>
      <c r="B18" s="12" t="s">
        <v>69</v>
      </c>
      <c r="C18" s="16" t="s">
        <v>71</v>
      </c>
      <c r="D18" s="14">
        <f>35595107</f>
        <v>35595107</v>
      </c>
      <c r="E18" s="14">
        <v>38705305</v>
      </c>
      <c r="F18" s="14">
        <v>44285527</v>
      </c>
      <c r="G18" s="14">
        <v>50630421</v>
      </c>
      <c r="H18" s="14">
        <v>1551275</v>
      </c>
      <c r="I18" s="14">
        <v>880488</v>
      </c>
      <c r="J18" s="14">
        <v>1008666</v>
      </c>
      <c r="K18" s="14">
        <v>1054780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>
        <v>74988243</v>
      </c>
      <c r="AC18" s="14">
        <v>64992589</v>
      </c>
      <c r="AD18" s="14">
        <v>72271238</v>
      </c>
      <c r="AE18" s="14">
        <v>98137449</v>
      </c>
      <c r="AF18" s="14">
        <v>3029675</v>
      </c>
      <c r="AG18" s="14">
        <v>3862374</v>
      </c>
      <c r="AH18" s="14">
        <v>4202411</v>
      </c>
      <c r="AI18" s="14">
        <v>4709731</v>
      </c>
      <c r="AJ18" s="39">
        <v>1994</v>
      </c>
      <c r="AK18" s="39">
        <f t="shared" si="0"/>
        <v>27</v>
      </c>
      <c r="AL18" s="39">
        <v>4</v>
      </c>
      <c r="AM18" s="39">
        <v>1</v>
      </c>
      <c r="AN18" s="39" t="s">
        <v>5</v>
      </c>
    </row>
    <row r="19" spans="1:40" ht="30" x14ac:dyDescent="0.25">
      <c r="A19" s="4" t="s">
        <v>87</v>
      </c>
      <c r="B19" s="17" t="s">
        <v>84</v>
      </c>
      <c r="C19" s="8" t="s">
        <v>85</v>
      </c>
      <c r="D19" s="5">
        <v>13841000</v>
      </c>
      <c r="E19" s="5">
        <v>11888000</v>
      </c>
      <c r="F19" s="5">
        <v>10298000</v>
      </c>
      <c r="G19" s="5">
        <v>6578000</v>
      </c>
      <c r="H19" s="5">
        <v>1094000</v>
      </c>
      <c r="I19" s="5">
        <v>607000</v>
      </c>
      <c r="J19" s="5">
        <v>509000</v>
      </c>
      <c r="K19" s="5">
        <v>199000</v>
      </c>
      <c r="L19" s="5">
        <v>23000</v>
      </c>
      <c r="M19" s="5">
        <v>23000</v>
      </c>
      <c r="N19" s="5">
        <v>28000</v>
      </c>
      <c r="O19" s="5">
        <v>28000</v>
      </c>
      <c r="P19" s="5"/>
      <c r="Q19" s="5"/>
      <c r="R19" s="5"/>
      <c r="S19" s="5"/>
      <c r="T19" s="5"/>
      <c r="U19" s="5"/>
      <c r="V19" s="5"/>
      <c r="W19" s="5"/>
      <c r="X19" s="5">
        <f>1500000+570000</f>
        <v>2070000</v>
      </c>
      <c r="Y19" s="5">
        <f>1530000+610000</f>
        <v>2140000</v>
      </c>
      <c r="Z19" s="5">
        <f>870000+505000</f>
        <v>1375000</v>
      </c>
      <c r="AA19" s="5">
        <f>509000+132000</f>
        <v>641000</v>
      </c>
      <c r="AB19" s="5">
        <v>16397000</v>
      </c>
      <c r="AC19" s="5">
        <v>14728000</v>
      </c>
      <c r="AD19" s="5">
        <v>13406000</v>
      </c>
      <c r="AE19" s="5">
        <v>11611000</v>
      </c>
      <c r="AF19" s="5">
        <f>713000+612000</f>
        <v>1325000</v>
      </c>
      <c r="AG19" s="5">
        <f>652000-612000</f>
        <v>40000</v>
      </c>
      <c r="AH19" s="5">
        <f>658000-629000</f>
        <v>29000</v>
      </c>
      <c r="AI19" s="5">
        <f>676000-638000</f>
        <v>38000</v>
      </c>
      <c r="AJ19" s="39">
        <v>1994</v>
      </c>
      <c r="AK19" s="39">
        <f t="shared" si="0"/>
        <v>27</v>
      </c>
      <c r="AL19" s="39">
        <v>1</v>
      </c>
      <c r="AM19" s="39">
        <v>1</v>
      </c>
      <c r="AN19" s="39" t="s">
        <v>35</v>
      </c>
    </row>
    <row r="20" spans="1:40" ht="45" x14ac:dyDescent="0.25">
      <c r="A20" s="4" t="s">
        <v>88</v>
      </c>
      <c r="B20" s="17" t="s">
        <v>86</v>
      </c>
      <c r="C20" s="8" t="s">
        <v>89</v>
      </c>
      <c r="D20" s="5">
        <f>1390299</f>
        <v>1390299</v>
      </c>
      <c r="E20" s="5">
        <v>2612363</v>
      </c>
      <c r="F20" s="5">
        <v>3392407</v>
      </c>
      <c r="G20" s="5">
        <v>3873235</v>
      </c>
      <c r="H20" s="5">
        <f>690742-7130</f>
        <v>683612</v>
      </c>
      <c r="I20" s="5">
        <f>642620-15283</f>
        <v>627337</v>
      </c>
      <c r="J20" s="5">
        <f>533157-8002</f>
        <v>525155</v>
      </c>
      <c r="K20" s="5">
        <f>429082-8747</f>
        <v>420335</v>
      </c>
      <c r="L20" s="5">
        <v>56963</v>
      </c>
      <c r="M20" s="5">
        <v>75978</v>
      </c>
      <c r="N20" s="5">
        <v>239554</v>
      </c>
      <c r="O20" s="5">
        <v>69610</v>
      </c>
      <c r="P20" s="5">
        <v>62650</v>
      </c>
      <c r="Q20" s="5">
        <v>590860</v>
      </c>
      <c r="R20" s="5">
        <v>1619734</v>
      </c>
      <c r="S20" s="5">
        <v>1254068</v>
      </c>
      <c r="T20" s="5">
        <f>1390299-62650</f>
        <v>1327649</v>
      </c>
      <c r="U20" s="5">
        <f>2612363-590860</f>
        <v>2021503</v>
      </c>
      <c r="V20" s="5">
        <f>3392407-1619734</f>
        <v>1772673</v>
      </c>
      <c r="W20" s="5">
        <f>3873235-1254068</f>
        <v>2619167</v>
      </c>
      <c r="X20" s="5"/>
      <c r="Y20" s="5"/>
      <c r="Z20" s="5"/>
      <c r="AA20" s="5"/>
      <c r="AB20" s="5">
        <v>8514279</v>
      </c>
      <c r="AC20" s="5">
        <v>9738896</v>
      </c>
      <c r="AD20" s="5">
        <v>9445471</v>
      </c>
      <c r="AE20" s="5">
        <v>8677433</v>
      </c>
      <c r="AF20" s="5">
        <v>1485662</v>
      </c>
      <c r="AG20" s="5">
        <v>1489628</v>
      </c>
      <c r="AH20" s="5">
        <v>1442031</v>
      </c>
      <c r="AI20" s="5">
        <v>1287638</v>
      </c>
      <c r="AJ20" s="39">
        <v>1995</v>
      </c>
      <c r="AK20" s="39">
        <f t="shared" si="0"/>
        <v>26</v>
      </c>
      <c r="AL20" s="39">
        <v>1</v>
      </c>
      <c r="AM20" s="39">
        <v>1</v>
      </c>
      <c r="AN20" s="39" t="s">
        <v>5</v>
      </c>
    </row>
    <row r="21" spans="1:40" s="15" customFormat="1" ht="30" x14ac:dyDescent="0.25">
      <c r="A21" s="11" t="s">
        <v>91</v>
      </c>
      <c r="B21" s="12" t="s">
        <v>90</v>
      </c>
      <c r="C21" s="16" t="s">
        <v>333</v>
      </c>
      <c r="D21" s="14">
        <f>5278425.3+154494.77</f>
        <v>5432920.0699999994</v>
      </c>
      <c r="E21" s="14">
        <f>5439342.44+126908.84</f>
        <v>5566251.2800000003</v>
      </c>
      <c r="F21" s="14">
        <f>6179354.26+136627.73</f>
        <v>6315981.9900000002</v>
      </c>
      <c r="G21" s="14">
        <f>6180646.54+50835.82</f>
        <v>6231482.3600000003</v>
      </c>
      <c r="H21" s="14">
        <v>144720.54999999999</v>
      </c>
      <c r="I21" s="14">
        <v>119764.55</v>
      </c>
      <c r="J21" s="14">
        <v>127961.1</v>
      </c>
      <c r="K21" s="14">
        <v>41712.400000000001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>
        <v>13951884.960000001</v>
      </c>
      <c r="AC21" s="14">
        <v>16738176.33</v>
      </c>
      <c r="AD21" s="14">
        <v>19517629.050000001</v>
      </c>
      <c r="AE21" s="14">
        <v>23168943.52</v>
      </c>
      <c r="AF21" s="14">
        <v>184177.23</v>
      </c>
      <c r="AG21" s="14">
        <v>298860.73</v>
      </c>
      <c r="AH21" s="14">
        <v>660939.56999999995</v>
      </c>
      <c r="AI21" s="14">
        <v>739338.2</v>
      </c>
      <c r="AJ21" s="39">
        <v>2003</v>
      </c>
      <c r="AK21" s="39">
        <f t="shared" si="0"/>
        <v>18</v>
      </c>
      <c r="AL21" s="39">
        <v>2</v>
      </c>
      <c r="AM21" s="39">
        <v>1</v>
      </c>
      <c r="AN21" s="39" t="s">
        <v>35</v>
      </c>
    </row>
    <row r="22" spans="1:40" ht="45" x14ac:dyDescent="0.25">
      <c r="A22" s="4" t="s">
        <v>97</v>
      </c>
      <c r="B22" s="17" t="s">
        <v>96</v>
      </c>
      <c r="C22" s="8" t="s">
        <v>98</v>
      </c>
      <c r="D22" s="5">
        <f>1550977.24+76666.5</f>
        <v>1627643.74</v>
      </c>
      <c r="E22" s="5">
        <f>1341289.13+53868.51+22646.42</f>
        <v>1417804.0599999998</v>
      </c>
      <c r="F22" s="5">
        <f>1609609.92+628.75+17051.3</f>
        <v>1627289.97</v>
      </c>
      <c r="G22" s="5">
        <f>2412160.69+54822.77</f>
        <v>2466983.46</v>
      </c>
      <c r="H22" s="5">
        <v>76666.5</v>
      </c>
      <c r="I22" s="5">
        <v>53868.51</v>
      </c>
      <c r="J22" s="5">
        <v>17051.3</v>
      </c>
      <c r="K22" s="5">
        <v>0</v>
      </c>
      <c r="L22" s="5">
        <v>0</v>
      </c>
      <c r="M22" s="5">
        <v>91100</v>
      </c>
      <c r="N22" s="5">
        <v>27300</v>
      </c>
      <c r="O22" s="5">
        <v>107220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41" t="s">
        <v>115</v>
      </c>
      <c r="AC22" s="5">
        <v>3491741.35</v>
      </c>
      <c r="AD22" s="5">
        <v>4164387.23</v>
      </c>
      <c r="AE22" s="5">
        <v>3940163.2</v>
      </c>
      <c r="AF22" s="41" t="s">
        <v>115</v>
      </c>
      <c r="AG22" s="5">
        <v>59946.42</v>
      </c>
      <c r="AH22" s="5">
        <v>23824.13</v>
      </c>
      <c r="AI22" s="5">
        <v>15967.97</v>
      </c>
      <c r="AJ22" s="39">
        <v>2014</v>
      </c>
      <c r="AK22" s="39">
        <f t="shared" si="0"/>
        <v>7</v>
      </c>
      <c r="AL22" s="39">
        <v>7</v>
      </c>
      <c r="AM22" s="39">
        <v>1</v>
      </c>
      <c r="AN22" s="39" t="s">
        <v>5</v>
      </c>
    </row>
    <row r="23" spans="1:40" ht="45" x14ac:dyDescent="0.25">
      <c r="A23" s="4" t="s">
        <v>100</v>
      </c>
      <c r="B23" s="17" t="s">
        <v>99</v>
      </c>
      <c r="C23" s="8" t="s">
        <v>101</v>
      </c>
      <c r="D23" s="5">
        <f>3624644+166956</f>
        <v>3791600</v>
      </c>
      <c r="E23" s="5">
        <f>3424434+159390</f>
        <v>3583824</v>
      </c>
      <c r="F23" s="5">
        <f>3640553+196048</f>
        <v>3836601</v>
      </c>
      <c r="G23" s="5">
        <f>4341115+89299</f>
        <v>4430414</v>
      </c>
      <c r="H23" s="5">
        <v>166956</v>
      </c>
      <c r="I23" s="5">
        <v>159390</v>
      </c>
      <c r="J23" s="5">
        <v>196048</v>
      </c>
      <c r="K23" s="5">
        <v>89299</v>
      </c>
      <c r="L23" s="5">
        <v>64000</v>
      </c>
      <c r="M23" s="5">
        <v>79500</v>
      </c>
      <c r="N23" s="5">
        <v>50615</v>
      </c>
      <c r="O23" s="5">
        <v>61445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>
        <f>2281180</f>
        <v>2281180</v>
      </c>
      <c r="AC23" s="5">
        <v>3101471</v>
      </c>
      <c r="AD23" s="5">
        <v>3860813</v>
      </c>
      <c r="AE23" s="5">
        <v>5428807</v>
      </c>
      <c r="AF23" s="5">
        <v>13409</v>
      </c>
      <c r="AG23" s="5">
        <v>27583</v>
      </c>
      <c r="AH23" s="5">
        <v>43858</v>
      </c>
      <c r="AI23" s="5">
        <v>135255</v>
      </c>
      <c r="AJ23" s="39">
        <v>1999</v>
      </c>
      <c r="AK23" s="39">
        <f t="shared" si="0"/>
        <v>22</v>
      </c>
      <c r="AL23" s="39">
        <v>7</v>
      </c>
      <c r="AM23" s="39">
        <v>1</v>
      </c>
      <c r="AN23" s="39" t="s">
        <v>5</v>
      </c>
    </row>
    <row r="24" spans="1:40" s="15" customFormat="1" ht="60" x14ac:dyDescent="0.25">
      <c r="A24" s="11" t="s">
        <v>103</v>
      </c>
      <c r="B24" s="12" t="s">
        <v>102</v>
      </c>
      <c r="C24" s="16" t="s">
        <v>338</v>
      </c>
      <c r="D24" s="14">
        <f>1118979.92+745482.08+16112.85+86888.14+176160+250591.07+2297.8+153871.46</f>
        <v>2550383.3199999998</v>
      </c>
      <c r="E24" s="14">
        <f>1290285.12+111422.88</f>
        <v>1401708</v>
      </c>
      <c r="F24" s="14">
        <f>1308553.7+97985.84</f>
        <v>1406539.54</v>
      </c>
      <c r="G24" s="14">
        <f>2768053.92</f>
        <v>2768053.92</v>
      </c>
      <c r="H24" s="14">
        <f>153871.46-2407.86</f>
        <v>151463.6</v>
      </c>
      <c r="I24" s="14">
        <f>111422.88-2111.16</f>
        <v>109311.72</v>
      </c>
      <c r="J24" s="14">
        <f>97985.84-2318.25</f>
        <v>95667.59</v>
      </c>
      <c r="K24" s="14">
        <f>66720.9-3288.73</f>
        <v>63432.169999999991</v>
      </c>
      <c r="L24" s="14">
        <v>176160</v>
      </c>
      <c r="M24" s="14">
        <v>213520</v>
      </c>
      <c r="N24" s="14">
        <v>213520</v>
      </c>
      <c r="O24" s="14">
        <v>238720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1699222.77</v>
      </c>
      <c r="AC24" s="14">
        <v>1774230.66</v>
      </c>
      <c r="AD24" s="14">
        <v>1818045.82</v>
      </c>
      <c r="AE24" s="14">
        <v>2481857.59</v>
      </c>
      <c r="AF24" s="14">
        <v>32078.01</v>
      </c>
      <c r="AG24" s="14">
        <v>31994.639999999999</v>
      </c>
      <c r="AH24" s="14">
        <v>28672.71</v>
      </c>
      <c r="AI24" s="14">
        <v>29881.02</v>
      </c>
      <c r="AJ24" s="44">
        <v>2010</v>
      </c>
      <c r="AK24" s="44">
        <f t="shared" si="0"/>
        <v>11</v>
      </c>
      <c r="AL24" s="44">
        <v>1</v>
      </c>
      <c r="AM24" s="44">
        <v>1</v>
      </c>
      <c r="AN24" s="44" t="s">
        <v>66</v>
      </c>
    </row>
    <row r="25" spans="1:40" ht="45" x14ac:dyDescent="0.25">
      <c r="A25" s="4" t="s">
        <v>107</v>
      </c>
      <c r="B25" s="17" t="s">
        <v>106</v>
      </c>
      <c r="C25" s="8" t="s">
        <v>108</v>
      </c>
      <c r="D25" s="5">
        <f>1193926+33401</f>
        <v>1227327</v>
      </c>
      <c r="E25" s="5">
        <f>1106439+16654</f>
        <v>1123093</v>
      </c>
      <c r="F25" s="5">
        <f>1109249+23663</f>
        <v>1132912</v>
      </c>
      <c r="G25" s="5">
        <f>2269401+12828</f>
        <v>2282229</v>
      </c>
      <c r="H25" s="5">
        <v>33401</v>
      </c>
      <c r="I25" s="5">
        <v>16654</v>
      </c>
      <c r="J25" s="5">
        <v>23663</v>
      </c>
      <c r="K25" s="5">
        <v>12828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>
        <v>335788</v>
      </c>
      <c r="AC25" s="5">
        <v>269786</v>
      </c>
      <c r="AD25" s="5">
        <v>490808</v>
      </c>
      <c r="AE25" s="5">
        <v>1033682</v>
      </c>
      <c r="AF25" s="5">
        <v>31125</v>
      </c>
      <c r="AG25" s="5">
        <v>33675</v>
      </c>
      <c r="AH25" s="5">
        <v>34908</v>
      </c>
      <c r="AI25" s="5">
        <v>40400</v>
      </c>
      <c r="AJ25" s="39">
        <v>2007</v>
      </c>
      <c r="AK25" s="39">
        <f t="shared" si="0"/>
        <v>14</v>
      </c>
      <c r="AL25" s="39">
        <v>1</v>
      </c>
      <c r="AM25" s="39">
        <v>1</v>
      </c>
      <c r="AN25" s="39" t="s">
        <v>17</v>
      </c>
    </row>
    <row r="26" spans="1:40" s="22" customFormat="1" ht="75" x14ac:dyDescent="0.25">
      <c r="A26" s="18" t="s">
        <v>113</v>
      </c>
      <c r="B26" s="19" t="s">
        <v>112</v>
      </c>
      <c r="C26" s="20" t="s">
        <v>114</v>
      </c>
      <c r="D26" s="21">
        <f>5206905+450-2710</f>
        <v>5204645</v>
      </c>
      <c r="E26" s="21">
        <f>6458900+1007-2326</f>
        <v>6457581</v>
      </c>
      <c r="F26" s="21">
        <f>7537636+2591-2086</f>
        <v>7538141</v>
      </c>
      <c r="G26" s="41" t="s">
        <v>115</v>
      </c>
      <c r="H26" s="21">
        <v>0</v>
      </c>
      <c r="I26" s="21">
        <v>0</v>
      </c>
      <c r="J26" s="21">
        <v>505</v>
      </c>
      <c r="K26" s="41" t="s">
        <v>115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>
        <v>2968088</v>
      </c>
      <c r="AC26" s="21">
        <v>2928648</v>
      </c>
      <c r="AD26" s="21">
        <v>2541176</v>
      </c>
      <c r="AE26" s="41" t="s">
        <v>115</v>
      </c>
      <c r="AF26" s="21">
        <v>2700657</v>
      </c>
      <c r="AG26" s="21">
        <v>2795328</v>
      </c>
      <c r="AH26" s="21">
        <v>2340820</v>
      </c>
      <c r="AI26" s="41" t="s">
        <v>115</v>
      </c>
      <c r="AJ26" s="39">
        <v>2005</v>
      </c>
      <c r="AK26" s="39">
        <f t="shared" si="0"/>
        <v>16</v>
      </c>
      <c r="AL26" s="39">
        <v>4</v>
      </c>
      <c r="AM26" s="39">
        <v>1</v>
      </c>
      <c r="AN26" s="39" t="s">
        <v>5</v>
      </c>
    </row>
    <row r="27" spans="1:40" ht="45" x14ac:dyDescent="0.25">
      <c r="A27" s="4" t="s">
        <v>117</v>
      </c>
      <c r="B27" s="17" t="s">
        <v>116</v>
      </c>
      <c r="C27" s="8" t="s">
        <v>118</v>
      </c>
      <c r="D27" s="5">
        <f>2279201.98+621275.89</f>
        <v>2900477.87</v>
      </c>
      <c r="E27" s="5">
        <f>1037369.95+449818.3</f>
        <v>1487188.25</v>
      </c>
      <c r="F27" s="5">
        <f>7132285.05</f>
        <v>7132285.0499999998</v>
      </c>
      <c r="G27" s="5">
        <f>3570942.15</f>
        <v>3570942.15</v>
      </c>
      <c r="H27" s="5">
        <f>559992.63-2226.12</f>
        <v>557766.51</v>
      </c>
      <c r="I27" s="5">
        <f>410938.4-4054.76</f>
        <v>406883.64</v>
      </c>
      <c r="J27" s="5">
        <f>423093.93-12231.13</f>
        <v>410862.8</v>
      </c>
      <c r="K27" s="5">
        <f>272580.43-171612.08</f>
        <v>100968.35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>
        <v>8734203.2699999996</v>
      </c>
      <c r="AC27" s="5">
        <v>11255584.050000001</v>
      </c>
      <c r="AD27" s="5">
        <v>11617533.550000001</v>
      </c>
      <c r="AE27" s="5">
        <v>12388335.43</v>
      </c>
      <c r="AF27" s="5">
        <f>230277+1258.38</f>
        <v>231535.38</v>
      </c>
      <c r="AG27" s="5">
        <f>246408.37+561.78</f>
        <v>246970.15</v>
      </c>
      <c r="AH27" s="5">
        <v>176844.77</v>
      </c>
      <c r="AI27" s="5">
        <v>98465.69</v>
      </c>
      <c r="AJ27" s="39">
        <v>2000</v>
      </c>
      <c r="AK27" s="39">
        <f t="shared" si="0"/>
        <v>21</v>
      </c>
      <c r="AL27" s="39">
        <v>1</v>
      </c>
      <c r="AM27" s="39">
        <v>1</v>
      </c>
      <c r="AN27" s="39" t="s">
        <v>66</v>
      </c>
    </row>
    <row r="28" spans="1:40" ht="75" x14ac:dyDescent="0.25">
      <c r="A28" s="4" t="s">
        <v>120</v>
      </c>
      <c r="B28" s="17" t="s">
        <v>119</v>
      </c>
      <c r="C28" s="8" t="s">
        <v>121</v>
      </c>
      <c r="D28" s="5">
        <f>2781026+271591</f>
        <v>3052617</v>
      </c>
      <c r="E28" s="5">
        <f>2667372+146934</f>
        <v>2814306</v>
      </c>
      <c r="F28" s="5">
        <f>3910888+204438</f>
        <v>4115326</v>
      </c>
      <c r="G28" s="5">
        <v>5180155</v>
      </c>
      <c r="H28" s="5">
        <v>271591</v>
      </c>
      <c r="I28" s="5">
        <v>146934</v>
      </c>
      <c r="J28" s="5">
        <v>204438</v>
      </c>
      <c r="K28" s="5">
        <v>122254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v>3878997</v>
      </c>
      <c r="AC28" s="5">
        <v>4271486</v>
      </c>
      <c r="AD28" s="5">
        <v>5333526</v>
      </c>
      <c r="AE28" s="41" t="s">
        <v>115</v>
      </c>
      <c r="AF28" s="5">
        <v>66883</v>
      </c>
      <c r="AG28" s="5">
        <v>51215</v>
      </c>
      <c r="AH28" s="5">
        <v>40255</v>
      </c>
      <c r="AI28" s="41" t="s">
        <v>115</v>
      </c>
      <c r="AJ28" s="39">
        <v>2005</v>
      </c>
      <c r="AK28" s="39">
        <f t="shared" si="0"/>
        <v>16</v>
      </c>
      <c r="AL28" s="39">
        <v>1</v>
      </c>
      <c r="AM28" s="39">
        <v>1</v>
      </c>
      <c r="AN28" s="39" t="s">
        <v>5</v>
      </c>
    </row>
    <row r="29" spans="1:40" s="15" customFormat="1" ht="60" x14ac:dyDescent="0.25">
      <c r="A29" s="11" t="s">
        <v>123</v>
      </c>
      <c r="B29" s="12" t="s">
        <v>122</v>
      </c>
      <c r="C29" s="16" t="s">
        <v>339</v>
      </c>
      <c r="D29" s="14">
        <f>2993790+19052+5372</f>
        <v>3018214</v>
      </c>
      <c r="E29" s="14">
        <f>2201996+2217925-19357</f>
        <v>4400564</v>
      </c>
      <c r="F29" s="14">
        <f>2439078+3262437-18267</f>
        <v>5683248</v>
      </c>
      <c r="G29" s="14">
        <f>4915519.27+732411.04+8797.5-6420.6</f>
        <v>5650307.21</v>
      </c>
      <c r="H29" s="14">
        <v>19052</v>
      </c>
      <c r="I29" s="14">
        <v>0</v>
      </c>
      <c r="J29" s="14">
        <v>0</v>
      </c>
      <c r="K29" s="14">
        <f>8797.5-6420.6</f>
        <v>2376.8999999999996</v>
      </c>
      <c r="L29" s="41" t="s">
        <v>115</v>
      </c>
      <c r="M29" s="14">
        <v>140000</v>
      </c>
      <c r="N29" s="14">
        <v>511530</v>
      </c>
      <c r="O29" s="14">
        <v>153040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>
        <v>1205864</v>
      </c>
      <c r="AC29" s="14">
        <v>2178770</v>
      </c>
      <c r="AD29" s="14">
        <v>6068343</v>
      </c>
      <c r="AE29" s="14">
        <v>1903704.54</v>
      </c>
      <c r="AF29" s="14">
        <v>14862</v>
      </c>
      <c r="AG29" s="14">
        <v>11934</v>
      </c>
      <c r="AH29" s="14">
        <v>1217034</v>
      </c>
      <c r="AI29" s="14">
        <v>1224414.78</v>
      </c>
      <c r="AJ29" s="39">
        <v>2000</v>
      </c>
      <c r="AK29" s="39">
        <f t="shared" si="0"/>
        <v>21</v>
      </c>
      <c r="AL29" s="39">
        <v>7</v>
      </c>
      <c r="AM29" s="39">
        <v>1</v>
      </c>
      <c r="AN29" s="39" t="s">
        <v>124</v>
      </c>
    </row>
    <row r="30" spans="1:40" ht="75" x14ac:dyDescent="0.25">
      <c r="A30" s="4" t="s">
        <v>129</v>
      </c>
      <c r="B30" s="17" t="s">
        <v>128</v>
      </c>
      <c r="C30" s="8" t="s">
        <v>130</v>
      </c>
      <c r="D30" s="5">
        <f>15440419</f>
        <v>15440419</v>
      </c>
      <c r="E30" s="5">
        <v>11499186</v>
      </c>
      <c r="F30" s="5">
        <f>22381630</f>
        <v>22381630</v>
      </c>
      <c r="G30" s="5">
        <v>17781156</v>
      </c>
      <c r="H30" s="5">
        <v>0</v>
      </c>
      <c r="I30" s="5">
        <v>0</v>
      </c>
      <c r="J30" s="5">
        <v>0</v>
      </c>
      <c r="K30" s="5">
        <v>0</v>
      </c>
      <c r="L30" s="5">
        <v>2422660</v>
      </c>
      <c r="M30" s="5">
        <v>2260366</v>
      </c>
      <c r="N30" s="5">
        <v>2864833</v>
      </c>
      <c r="O30" s="5">
        <v>740899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>
        <v>17459058</v>
      </c>
      <c r="AC30" s="5">
        <v>18218077</v>
      </c>
      <c r="AD30" s="5">
        <v>18514241</v>
      </c>
      <c r="AE30" s="5">
        <v>18819748</v>
      </c>
      <c r="AF30" s="5">
        <f>10804717+1028</f>
        <v>10805745</v>
      </c>
      <c r="AG30" s="5">
        <f>10770783+1028</f>
        <v>10771811</v>
      </c>
      <c r="AH30" s="5">
        <f>13733755-3548882+11552-4103</f>
        <v>10192322</v>
      </c>
      <c r="AI30" s="5">
        <f>15858421-4052079+11552-5487</f>
        <v>11812407</v>
      </c>
      <c r="AJ30" s="39">
        <v>1991</v>
      </c>
      <c r="AK30" s="39">
        <f t="shared" si="0"/>
        <v>30</v>
      </c>
      <c r="AL30" s="39">
        <v>3</v>
      </c>
      <c r="AM30" s="39">
        <v>1</v>
      </c>
      <c r="AN30" s="39" t="s">
        <v>30</v>
      </c>
    </row>
    <row r="31" spans="1:40" ht="45.6" customHeight="1" x14ac:dyDescent="0.25">
      <c r="A31" s="4" t="s">
        <v>132</v>
      </c>
      <c r="B31" s="17" t="s">
        <v>131</v>
      </c>
      <c r="C31" s="8" t="s">
        <v>133</v>
      </c>
      <c r="D31" s="5">
        <f>782764+17580</f>
        <v>800344</v>
      </c>
      <c r="E31" s="5">
        <f>2487075+24370</f>
        <v>2511445</v>
      </c>
      <c r="F31" s="5">
        <f>2712921</f>
        <v>2712921</v>
      </c>
      <c r="G31" s="5">
        <f>2767348+973</f>
        <v>2768321</v>
      </c>
      <c r="H31" s="5">
        <v>0</v>
      </c>
      <c r="I31" s="5">
        <v>0</v>
      </c>
      <c r="J31" s="5">
        <v>0</v>
      </c>
      <c r="K31" s="5">
        <v>973</v>
      </c>
      <c r="L31" s="5">
        <v>135918</v>
      </c>
      <c r="M31" s="5">
        <v>116279</v>
      </c>
      <c r="N31" s="5">
        <v>119411</v>
      </c>
      <c r="O31" s="5">
        <v>104453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>
        <v>298226</v>
      </c>
      <c r="AC31" s="5">
        <v>1291070</v>
      </c>
      <c r="AD31" s="5">
        <v>1851040</v>
      </c>
      <c r="AE31" s="5">
        <v>7957042</v>
      </c>
      <c r="AF31" s="5">
        <v>154518</v>
      </c>
      <c r="AG31" s="5">
        <v>275910</v>
      </c>
      <c r="AH31" s="5">
        <v>255454</v>
      </c>
      <c r="AI31" s="5">
        <v>218491</v>
      </c>
      <c r="AJ31" s="39">
        <v>2003</v>
      </c>
      <c r="AK31" s="39">
        <f t="shared" si="0"/>
        <v>18</v>
      </c>
      <c r="AL31" s="39">
        <v>7</v>
      </c>
      <c r="AM31" s="39">
        <v>1</v>
      </c>
      <c r="AN31" s="39" t="s">
        <v>134</v>
      </c>
    </row>
    <row r="32" spans="1:40" ht="45" x14ac:dyDescent="0.25">
      <c r="A32" s="4" t="s">
        <v>137</v>
      </c>
      <c r="B32" s="17" t="s">
        <v>135</v>
      </c>
      <c r="C32" s="8" t="s">
        <v>138</v>
      </c>
      <c r="D32" s="5">
        <f>10246000+1461000</f>
        <v>11707000</v>
      </c>
      <c r="E32" s="5">
        <f>12797000+3128000</f>
        <v>15925000</v>
      </c>
      <c r="F32" s="5">
        <f>17238000+847000</f>
        <v>18085000</v>
      </c>
      <c r="G32" s="5">
        <f>19299000+2703000</f>
        <v>22002000</v>
      </c>
      <c r="H32" s="5">
        <v>1461000</v>
      </c>
      <c r="I32" s="5">
        <v>3128000</v>
      </c>
      <c r="J32" s="5">
        <v>847000</v>
      </c>
      <c r="K32" s="5">
        <v>2703000</v>
      </c>
      <c r="L32" s="41" t="s">
        <v>115</v>
      </c>
      <c r="M32" s="41" t="s">
        <v>115</v>
      </c>
      <c r="N32" s="41" t="s">
        <v>115</v>
      </c>
      <c r="O32" s="5">
        <v>254000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>
        <v>50325000</v>
      </c>
      <c r="AC32" s="5">
        <v>91455000</v>
      </c>
      <c r="AD32" s="5">
        <v>28195000</v>
      </c>
      <c r="AE32" s="5">
        <v>32695000</v>
      </c>
      <c r="AF32" s="5">
        <v>18335000</v>
      </c>
      <c r="AG32" s="5">
        <v>19945000</v>
      </c>
      <c r="AH32" s="5">
        <v>28195000</v>
      </c>
      <c r="AI32" s="5">
        <v>32695000</v>
      </c>
      <c r="AJ32" s="39">
        <v>1992</v>
      </c>
      <c r="AK32" s="39">
        <f t="shared" si="0"/>
        <v>29</v>
      </c>
      <c r="AL32" s="39">
        <v>4</v>
      </c>
      <c r="AM32" s="39">
        <v>1</v>
      </c>
      <c r="AN32" s="39" t="s">
        <v>136</v>
      </c>
    </row>
    <row r="33" spans="1:40" s="15" customFormat="1" ht="45" x14ac:dyDescent="0.25">
      <c r="A33" s="11" t="s">
        <v>140</v>
      </c>
      <c r="B33" s="12" t="s">
        <v>139</v>
      </c>
      <c r="C33" s="16" t="s">
        <v>141</v>
      </c>
      <c r="D33" s="14">
        <f>6855000</f>
        <v>6855000</v>
      </c>
      <c r="E33" s="14">
        <f>7496000+119000-2000</f>
        <v>7613000</v>
      </c>
      <c r="F33" s="14">
        <f>7647000+109000-6000</f>
        <v>7750000</v>
      </c>
      <c r="G33" s="14">
        <f>5939000+16000</f>
        <v>5955000</v>
      </c>
      <c r="H33" s="14">
        <v>0</v>
      </c>
      <c r="I33" s="14">
        <f>119000-2000</f>
        <v>117000</v>
      </c>
      <c r="J33" s="14">
        <f>109000-6000</f>
        <v>103000</v>
      </c>
      <c r="K33" s="14">
        <f>16000-4000</f>
        <v>12000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>
        <v>32974000</v>
      </c>
      <c r="AC33" s="14">
        <v>31059000</v>
      </c>
      <c r="AD33" s="14">
        <v>28236000</v>
      </c>
      <c r="AE33" s="14">
        <v>24791000</v>
      </c>
      <c r="AF33" s="14">
        <v>9340000</v>
      </c>
      <c r="AG33" s="14">
        <v>9265000</v>
      </c>
      <c r="AH33" s="14">
        <v>9185000</v>
      </c>
      <c r="AI33" s="14">
        <v>9094000</v>
      </c>
      <c r="AJ33" s="44">
        <v>1984</v>
      </c>
      <c r="AK33" s="44">
        <f t="shared" si="0"/>
        <v>37</v>
      </c>
      <c r="AL33" s="44">
        <v>4</v>
      </c>
      <c r="AM33" s="44">
        <v>1</v>
      </c>
      <c r="AN33" s="44" t="s">
        <v>51</v>
      </c>
    </row>
    <row r="34" spans="1:40" ht="75" x14ac:dyDescent="0.25">
      <c r="A34" s="4" t="s">
        <v>143</v>
      </c>
      <c r="B34" s="17" t="s">
        <v>142</v>
      </c>
      <c r="C34" s="8" t="s">
        <v>149</v>
      </c>
      <c r="D34" s="5">
        <f>11086201+10219936+780414+500254+288442</f>
        <v>22875247</v>
      </c>
      <c r="E34" s="5">
        <f>13681497+10970251+1063292+342851+129441+17849</f>
        <v>26205181</v>
      </c>
      <c r="F34" s="5">
        <f>13106199+11267675+114307+1495046+143679+24528+53655</f>
        <v>26205089</v>
      </c>
      <c r="G34" s="5">
        <f>13070202+9100115+304101+1318070+64445+19776</f>
        <v>23876709</v>
      </c>
      <c r="H34" s="5">
        <v>0</v>
      </c>
      <c r="I34" s="5">
        <v>0</v>
      </c>
      <c r="J34" s="5">
        <v>0</v>
      </c>
      <c r="K34" s="5">
        <v>0</v>
      </c>
      <c r="L34" s="41" t="s">
        <v>115</v>
      </c>
      <c r="M34" s="5">
        <v>17849</v>
      </c>
      <c r="N34" s="5">
        <v>24528</v>
      </c>
      <c r="O34" s="5">
        <v>19776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>
        <v>32332976</v>
      </c>
      <c r="AC34" s="5">
        <v>31617108</v>
      </c>
      <c r="AD34" s="5">
        <v>30605466</v>
      </c>
      <c r="AE34" s="5">
        <v>39574878</v>
      </c>
      <c r="AF34" s="5">
        <f>3786956+85074</f>
        <v>3872030</v>
      </c>
      <c r="AG34" s="5">
        <f>3591033+94811</f>
        <v>3685844</v>
      </c>
      <c r="AH34" s="5">
        <f>3450057+82050</f>
        <v>3532107</v>
      </c>
      <c r="AI34" s="5">
        <f>3144773+67257</f>
        <v>3212030</v>
      </c>
      <c r="AJ34" s="39">
        <v>1995</v>
      </c>
      <c r="AK34" s="39">
        <f t="shared" si="0"/>
        <v>26</v>
      </c>
      <c r="AL34" s="39">
        <v>4</v>
      </c>
      <c r="AM34" s="39">
        <v>1</v>
      </c>
      <c r="AN34" s="39" t="s">
        <v>144</v>
      </c>
    </row>
    <row r="35" spans="1:40" s="15" customFormat="1" ht="75" x14ac:dyDescent="0.25">
      <c r="A35" s="11" t="s">
        <v>146</v>
      </c>
      <c r="B35" s="12" t="s">
        <v>145</v>
      </c>
      <c r="C35" s="16" t="s">
        <v>148</v>
      </c>
      <c r="D35" s="14">
        <f>7204185.05+110473</f>
        <v>7314658.0499999998</v>
      </c>
      <c r="E35" s="14">
        <f>6076.97+8154951.06+31800.2</f>
        <v>8192828.2299999995</v>
      </c>
      <c r="F35" s="14">
        <f>8400000+114000</f>
        <v>8514000</v>
      </c>
      <c r="G35" s="14">
        <f>13560000+15000</f>
        <v>13575000</v>
      </c>
      <c r="H35" s="14">
        <v>0</v>
      </c>
      <c r="I35" s="14">
        <v>6076.97</v>
      </c>
      <c r="J35" s="14">
        <v>0</v>
      </c>
      <c r="K35" s="14">
        <v>36000</v>
      </c>
      <c r="L35" s="14"/>
      <c r="M35" s="14"/>
      <c r="N35" s="14"/>
      <c r="O35" s="14"/>
      <c r="P35" s="14">
        <f>110473</f>
        <v>110473</v>
      </c>
      <c r="Q35" s="14">
        <f>31800+6076.97</f>
        <v>37876.97</v>
      </c>
      <c r="R35" s="14" t="s">
        <v>115</v>
      </c>
      <c r="S35" s="14" t="s">
        <v>115</v>
      </c>
      <c r="T35" s="14">
        <v>7204185.0499999998</v>
      </c>
      <c r="U35" s="14">
        <v>8154951.0599999996</v>
      </c>
      <c r="V35" s="14" t="s">
        <v>115</v>
      </c>
      <c r="W35" s="14" t="s">
        <v>115</v>
      </c>
      <c r="X35" s="14"/>
      <c r="Y35" s="14"/>
      <c r="Z35" s="14"/>
      <c r="AA35" s="14"/>
      <c r="AB35" s="14">
        <v>2474180.9900000002</v>
      </c>
      <c r="AC35" s="14">
        <v>3135513.54</v>
      </c>
      <c r="AD35" s="14">
        <v>12528000</v>
      </c>
      <c r="AE35" s="14">
        <v>23430000</v>
      </c>
      <c r="AF35" s="14">
        <f>1001193.11-272662.84</f>
        <v>728530.27</v>
      </c>
      <c r="AG35" s="14">
        <f>1226408.04-175950</f>
        <v>1050458.04</v>
      </c>
      <c r="AH35" s="14">
        <f>2449000</f>
        <v>2449000</v>
      </c>
      <c r="AI35" s="14">
        <v>2837000</v>
      </c>
      <c r="AJ35" s="44">
        <v>2005</v>
      </c>
      <c r="AK35" s="44">
        <f t="shared" si="0"/>
        <v>16</v>
      </c>
      <c r="AL35" s="44">
        <v>4</v>
      </c>
      <c r="AM35" s="44">
        <v>1</v>
      </c>
      <c r="AN35" s="44" t="s">
        <v>147</v>
      </c>
    </row>
    <row r="36" spans="1:40" ht="75" x14ac:dyDescent="0.25">
      <c r="A36" s="4" t="s">
        <v>154</v>
      </c>
      <c r="B36" s="17" t="s">
        <v>153</v>
      </c>
      <c r="C36" s="8" t="s">
        <v>157</v>
      </c>
      <c r="D36" s="5">
        <f>886311.05+17538.45</f>
        <v>903849.5</v>
      </c>
      <c r="E36" s="5">
        <f>931718.83+15919.22</f>
        <v>947638.04999999993</v>
      </c>
      <c r="F36" s="5">
        <f>1055237.25</f>
        <v>1055237.25</v>
      </c>
      <c r="G36" s="5">
        <v>2728080.41</v>
      </c>
      <c r="H36" s="5">
        <f>17538.45-6938.11</f>
        <v>10600.34</v>
      </c>
      <c r="I36" s="5">
        <f>15919.22-9807.55</f>
        <v>6111.67</v>
      </c>
      <c r="J36" s="5">
        <v>0</v>
      </c>
      <c r="K36" s="5">
        <v>0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>
        <v>419031.14</v>
      </c>
      <c r="AC36" s="5">
        <v>389786.18</v>
      </c>
      <c r="AD36" s="5">
        <v>578807.49</v>
      </c>
      <c r="AE36" s="5">
        <v>426980.25</v>
      </c>
      <c r="AF36" s="5">
        <v>49967.51</v>
      </c>
      <c r="AG36" s="5">
        <v>30446.57</v>
      </c>
      <c r="AH36" s="5">
        <v>38425.21</v>
      </c>
      <c r="AI36" s="5">
        <v>27920.63</v>
      </c>
      <c r="AJ36" s="39">
        <v>2005</v>
      </c>
      <c r="AK36" s="39">
        <f t="shared" si="0"/>
        <v>16</v>
      </c>
      <c r="AL36" s="39">
        <v>7</v>
      </c>
      <c r="AM36" s="39">
        <v>1</v>
      </c>
      <c r="AN36" s="39" t="s">
        <v>66</v>
      </c>
    </row>
    <row r="37" spans="1:40" ht="60" x14ac:dyDescent="0.25">
      <c r="A37" s="4" t="s">
        <v>156</v>
      </c>
      <c r="B37" s="17" t="s">
        <v>155</v>
      </c>
      <c r="C37" s="8" t="s">
        <v>158</v>
      </c>
      <c r="D37" s="5">
        <f>1960401+118062</f>
        <v>2078463</v>
      </c>
      <c r="E37" s="5">
        <f>1737661+33059</f>
        <v>1770720</v>
      </c>
      <c r="F37" s="5">
        <f>2496370+25773</f>
        <v>2522143</v>
      </c>
      <c r="G37" s="5">
        <f>2470555+17036</f>
        <v>2487591</v>
      </c>
      <c r="H37" s="5">
        <v>118062</v>
      </c>
      <c r="I37" s="5">
        <v>33059</v>
      </c>
      <c r="J37" s="5">
        <v>25773</v>
      </c>
      <c r="K37" s="5">
        <v>17036</v>
      </c>
      <c r="L37" s="5">
        <v>171352</v>
      </c>
      <c r="M37" s="5">
        <v>65741</v>
      </c>
      <c r="N37" s="5">
        <v>40829</v>
      </c>
      <c r="O37" s="5">
        <v>4115</v>
      </c>
      <c r="P37" s="5">
        <v>854516</v>
      </c>
      <c r="Q37" s="5">
        <v>547328</v>
      </c>
      <c r="R37" s="5">
        <v>1121591</v>
      </c>
      <c r="S37" s="5">
        <v>833899</v>
      </c>
      <c r="T37" s="5">
        <v>1105885</v>
      </c>
      <c r="U37" s="5">
        <v>1190333</v>
      </c>
      <c r="V37" s="5">
        <v>1374779</v>
      </c>
      <c r="W37" s="5">
        <v>1636656</v>
      </c>
      <c r="X37" s="5"/>
      <c r="Y37" s="5"/>
      <c r="Z37" s="5"/>
      <c r="AA37" s="5"/>
      <c r="AB37" s="5">
        <v>1543028</v>
      </c>
      <c r="AC37" s="5">
        <v>1464980</v>
      </c>
      <c r="AD37" s="5">
        <v>1623450</v>
      </c>
      <c r="AE37" s="5">
        <v>1806777</v>
      </c>
      <c r="AF37" s="5">
        <v>186195</v>
      </c>
      <c r="AG37" s="5">
        <v>155547</v>
      </c>
      <c r="AH37" s="5">
        <v>141706</v>
      </c>
      <c r="AI37" s="5">
        <v>132296</v>
      </c>
      <c r="AJ37" s="39">
        <v>2011</v>
      </c>
      <c r="AK37" s="39">
        <f t="shared" si="0"/>
        <v>10</v>
      </c>
      <c r="AL37" s="39">
        <v>1</v>
      </c>
      <c r="AM37" s="39">
        <v>1</v>
      </c>
      <c r="AN37" s="39" t="s">
        <v>5</v>
      </c>
    </row>
    <row r="38" spans="1:40" ht="41.45" customHeight="1" x14ac:dyDescent="0.25">
      <c r="A38" s="4" t="s">
        <v>163</v>
      </c>
      <c r="B38" s="17" t="s">
        <v>162</v>
      </c>
      <c r="C38" s="8" t="s">
        <v>340</v>
      </c>
      <c r="D38" s="5">
        <f>2201922+1913025</f>
        <v>4114947</v>
      </c>
      <c r="E38" s="5">
        <f>5002565</f>
        <v>5002565</v>
      </c>
      <c r="F38" s="5">
        <f>3797220</f>
        <v>3797220</v>
      </c>
      <c r="G38" s="5">
        <f>4486622</f>
        <v>4486622</v>
      </c>
      <c r="H38" s="5">
        <f>22720-14821</f>
        <v>7899</v>
      </c>
      <c r="I38" s="5">
        <f>35932-15356</f>
        <v>20576</v>
      </c>
      <c r="J38" s="5">
        <f>70947-25105</f>
        <v>45842</v>
      </c>
      <c r="K38" s="5">
        <f>50464-21041</f>
        <v>29423</v>
      </c>
      <c r="L38" s="5"/>
      <c r="M38" s="5"/>
      <c r="N38" s="5"/>
      <c r="O38" s="5"/>
      <c r="P38" s="5">
        <v>2201922</v>
      </c>
      <c r="Q38" s="5">
        <v>3053026</v>
      </c>
      <c r="R38" s="5">
        <v>1896604</v>
      </c>
      <c r="S38" s="5">
        <v>1499082</v>
      </c>
      <c r="T38" s="5">
        <f>1913025</f>
        <v>1913025</v>
      </c>
      <c r="U38" s="5">
        <f>1949539</f>
        <v>1949539</v>
      </c>
      <c r="V38" s="5">
        <f>1900616</f>
        <v>1900616</v>
      </c>
      <c r="W38" s="5">
        <f>2987540</f>
        <v>2987540</v>
      </c>
      <c r="X38" s="5"/>
      <c r="Y38" s="5"/>
      <c r="Z38" s="5"/>
      <c r="AA38" s="5"/>
      <c r="AB38" s="5">
        <v>889847</v>
      </c>
      <c r="AC38" s="5">
        <v>1520956</v>
      </c>
      <c r="AD38" s="5">
        <v>2719625</v>
      </c>
      <c r="AE38" s="5">
        <v>3118499</v>
      </c>
      <c r="AF38" s="5">
        <v>194366</v>
      </c>
      <c r="AG38" s="5">
        <v>162933</v>
      </c>
      <c r="AH38" s="5">
        <v>137350</v>
      </c>
      <c r="AI38" s="5">
        <v>106570</v>
      </c>
      <c r="AJ38" s="39">
        <v>2001</v>
      </c>
      <c r="AK38" s="39">
        <f t="shared" si="0"/>
        <v>20</v>
      </c>
      <c r="AL38" s="39">
        <v>4</v>
      </c>
      <c r="AM38" s="39">
        <v>1</v>
      </c>
      <c r="AN38" s="39" t="s">
        <v>5</v>
      </c>
    </row>
    <row r="39" spans="1:40" ht="60" x14ac:dyDescent="0.25">
      <c r="A39" s="4" t="s">
        <v>165</v>
      </c>
      <c r="B39" s="17" t="s">
        <v>164</v>
      </c>
      <c r="C39" s="8" t="s">
        <v>169</v>
      </c>
      <c r="D39" s="5">
        <f>11341985+62282</f>
        <v>11404267</v>
      </c>
      <c r="E39" s="5">
        <v>10431914</v>
      </c>
      <c r="F39" s="5">
        <f>10688275</f>
        <v>10688275</v>
      </c>
      <c r="G39" s="5">
        <f>11357298</f>
        <v>11357298</v>
      </c>
      <c r="H39" s="5">
        <v>62282</v>
      </c>
      <c r="I39" s="5">
        <v>0</v>
      </c>
      <c r="J39" s="5">
        <v>0</v>
      </c>
      <c r="K39" s="5">
        <v>0</v>
      </c>
      <c r="L39" s="5"/>
      <c r="M39" s="5"/>
      <c r="N39" s="5"/>
      <c r="O39" s="5"/>
      <c r="P39" s="5">
        <f>277136+8113432</f>
        <v>8390568</v>
      </c>
      <c r="Q39" s="5">
        <f>1791413+6449861</f>
        <v>8241274</v>
      </c>
      <c r="R39" s="5">
        <v>6737811</v>
      </c>
      <c r="S39" s="5">
        <v>5527121</v>
      </c>
      <c r="T39" s="5">
        <f>2951417+62282</f>
        <v>3013699</v>
      </c>
      <c r="U39" s="5">
        <v>2190640</v>
      </c>
      <c r="V39" s="5">
        <f>3944824+5640</f>
        <v>3950464</v>
      </c>
      <c r="W39" s="5">
        <f>5822991+7186</f>
        <v>5830177</v>
      </c>
      <c r="X39" s="5"/>
      <c r="Y39" s="5"/>
      <c r="Z39" s="5"/>
      <c r="AA39" s="5"/>
      <c r="AB39" s="5">
        <v>11539260</v>
      </c>
      <c r="AC39" s="5">
        <v>12088120</v>
      </c>
      <c r="AD39" s="5">
        <v>8130207</v>
      </c>
      <c r="AE39" s="5">
        <v>6460794</v>
      </c>
      <c r="AF39" s="5">
        <v>5617386</v>
      </c>
      <c r="AG39" s="5">
        <v>5251833</v>
      </c>
      <c r="AH39" s="5">
        <v>5100482</v>
      </c>
      <c r="AI39" s="5">
        <v>4893683</v>
      </c>
      <c r="AJ39" s="39">
        <v>1978</v>
      </c>
      <c r="AK39" s="39">
        <f t="shared" si="0"/>
        <v>43</v>
      </c>
      <c r="AL39" s="39">
        <v>1</v>
      </c>
      <c r="AM39" s="39">
        <v>1</v>
      </c>
      <c r="AN39" s="39" t="s">
        <v>166</v>
      </c>
    </row>
    <row r="40" spans="1:40" ht="60" x14ac:dyDescent="0.25">
      <c r="A40" s="4" t="s">
        <v>168</v>
      </c>
      <c r="B40" s="17" t="s">
        <v>167</v>
      </c>
      <c r="C40" s="8" t="s">
        <v>170</v>
      </c>
      <c r="D40" s="5">
        <f>51878659.07</f>
        <v>51878659.07</v>
      </c>
      <c r="E40" s="5">
        <f>50313064.34</f>
        <v>50313064.340000004</v>
      </c>
      <c r="F40" s="5">
        <f>50583475.96+1225837.86</f>
        <v>51809313.82</v>
      </c>
      <c r="G40" s="5">
        <f>30977688.03+246534.73</f>
        <v>31224222.760000002</v>
      </c>
      <c r="H40" s="5">
        <f>11464.44+3695431.84-182789.71</f>
        <v>3524106.57</v>
      </c>
      <c r="I40" s="5">
        <f>24002.23+1805846.72-121246.78</f>
        <v>1708602.17</v>
      </c>
      <c r="J40" s="5">
        <v>1225837.8600000001</v>
      </c>
      <c r="K40" s="5">
        <v>246534.73</v>
      </c>
      <c r="L40" s="5">
        <v>80804.33</v>
      </c>
      <c r="M40" s="5">
        <v>96026.240000000005</v>
      </c>
      <c r="N40" s="5">
        <v>101802.92</v>
      </c>
      <c r="O40" s="5">
        <v>61198.75</v>
      </c>
      <c r="P40" s="5">
        <v>6202852.2800000003</v>
      </c>
      <c r="Q40" s="5">
        <v>6555081.9400000004</v>
      </c>
      <c r="R40" s="5">
        <v>6488885.0099999998</v>
      </c>
      <c r="S40" s="5">
        <v>6253222.4000000004</v>
      </c>
      <c r="T40" s="5">
        <f>45675806.79</f>
        <v>45675806.789999999</v>
      </c>
      <c r="U40" s="5">
        <f>43757982.4</f>
        <v>43757982.399999999</v>
      </c>
      <c r="V40" s="5">
        <f>559530.96+39142298.24+4290958.83+101802.92+1225837.86</f>
        <v>45320428.810000002</v>
      </c>
      <c r="W40" s="5">
        <f>404550.14+24258716.74+61198.75+246534.73</f>
        <v>24971000.359999999</v>
      </c>
      <c r="X40" s="5"/>
      <c r="Y40" s="5"/>
      <c r="Z40" s="5"/>
      <c r="AA40" s="5"/>
      <c r="AB40" s="5">
        <v>61712079.020000003</v>
      </c>
      <c r="AC40" s="5">
        <v>62740589.740000002</v>
      </c>
      <c r="AD40" s="5">
        <v>61437584.619999997</v>
      </c>
      <c r="AE40" s="5">
        <v>73167950.989999995</v>
      </c>
      <c r="AF40" s="5">
        <f>27464424.88+84647.48</f>
        <v>27549072.359999999</v>
      </c>
      <c r="AG40" s="5">
        <f>26969908.99+78332.68</f>
        <v>27048241.669999998</v>
      </c>
      <c r="AH40" s="5">
        <v>28288496.41</v>
      </c>
      <c r="AI40" s="5">
        <v>52286217.950000003</v>
      </c>
      <c r="AJ40" s="39">
        <v>1963</v>
      </c>
      <c r="AK40" s="39">
        <f t="shared" si="0"/>
        <v>58</v>
      </c>
      <c r="AL40" s="39">
        <v>1</v>
      </c>
      <c r="AM40" s="39">
        <v>1</v>
      </c>
      <c r="AN40" s="39" t="s">
        <v>171</v>
      </c>
    </row>
    <row r="41" spans="1:40" s="15" customFormat="1" ht="45" x14ac:dyDescent="0.25">
      <c r="A41" s="11" t="s">
        <v>173</v>
      </c>
      <c r="B41" s="12" t="s">
        <v>172</v>
      </c>
      <c r="C41" s="16" t="s">
        <v>174</v>
      </c>
      <c r="D41" s="14">
        <f>2384666.74</f>
        <v>2384666.7400000002</v>
      </c>
      <c r="E41" s="14">
        <f>2853935.17</f>
        <v>2853935.17</v>
      </c>
      <c r="F41" s="14">
        <f>2711865.89</f>
        <v>2711865.89</v>
      </c>
      <c r="G41" s="14">
        <v>2105440.29</v>
      </c>
      <c r="H41" s="14">
        <f>85673.99-11974.92</f>
        <v>73699.070000000007</v>
      </c>
      <c r="I41" s="14">
        <f>52526.98-11365.54</f>
        <v>41161.440000000002</v>
      </c>
      <c r="J41" s="14">
        <f>59530.35-10527.52</f>
        <v>49002.83</v>
      </c>
      <c r="K41" s="14">
        <f>28065.29-12216.05</f>
        <v>15849.240000000002</v>
      </c>
      <c r="L41" s="14">
        <v>111409.76</v>
      </c>
      <c r="M41" s="14">
        <v>102155.87</v>
      </c>
      <c r="N41" s="14">
        <v>65752.210000000006</v>
      </c>
      <c r="O41" s="14">
        <v>70437.119999999995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>
        <v>4489670.6900000004</v>
      </c>
      <c r="AC41" s="14">
        <v>4905298.12</v>
      </c>
      <c r="AD41" s="14">
        <v>4947306.8099999996</v>
      </c>
      <c r="AE41" s="14">
        <v>4722202.92</v>
      </c>
      <c r="AF41" s="14">
        <v>2276331.75</v>
      </c>
      <c r="AG41" s="14">
        <v>2157654.31</v>
      </c>
      <c r="AH41" s="14">
        <v>2078850.7</v>
      </c>
      <c r="AI41" s="14">
        <v>2000333.6</v>
      </c>
      <c r="AJ41" s="44">
        <v>1992</v>
      </c>
      <c r="AK41" s="44">
        <f t="shared" si="0"/>
        <v>29</v>
      </c>
      <c r="AL41" s="44">
        <v>1</v>
      </c>
      <c r="AM41" s="44">
        <v>1</v>
      </c>
      <c r="AN41" s="44" t="s">
        <v>171</v>
      </c>
    </row>
    <row r="42" spans="1:40" ht="75" x14ac:dyDescent="0.25">
      <c r="A42" s="4" t="s">
        <v>176</v>
      </c>
      <c r="B42" s="17" t="s">
        <v>175</v>
      </c>
      <c r="C42" s="8" t="s">
        <v>177</v>
      </c>
      <c r="D42" s="5">
        <f>121113000+46718000+4910000+7239000+2956000+249000+7776000</f>
        <v>190961000</v>
      </c>
      <c r="E42" s="5">
        <f>116352000+45345000+4835000+6314000+5889000+196000+9137000</f>
        <v>188068000</v>
      </c>
      <c r="F42" s="5">
        <f>189233180.43+2368032.91</f>
        <v>191601213.34</v>
      </c>
      <c r="G42" s="5">
        <f>169757451.76+1358816.29</f>
        <v>171116268.04999998</v>
      </c>
      <c r="H42" s="5">
        <v>0</v>
      </c>
      <c r="I42" s="5">
        <v>0</v>
      </c>
      <c r="J42" s="5">
        <v>0</v>
      </c>
      <c r="K42" s="5">
        <v>0</v>
      </c>
      <c r="L42" s="5">
        <f>42000+174000+32000</f>
        <v>248000</v>
      </c>
      <c r="M42" s="5">
        <f>55000+212000+7000</f>
        <v>274000</v>
      </c>
      <c r="N42" s="5">
        <f>1839866.73</f>
        <v>1839866.73</v>
      </c>
      <c r="O42" s="5">
        <v>1797377.76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>
        <v>626752000</v>
      </c>
      <c r="AC42" s="5">
        <v>638383000</v>
      </c>
      <c r="AD42" s="5">
        <v>680138487.11000001</v>
      </c>
      <c r="AE42" s="5">
        <v>688620704.78999996</v>
      </c>
      <c r="AF42" s="5">
        <f>364701000+186703000+516000</f>
        <v>551920000</v>
      </c>
      <c r="AG42" s="5">
        <f>375576000+182419000+466000</f>
        <v>558461000</v>
      </c>
      <c r="AH42" s="5">
        <f>588796580.1-31287047.09</f>
        <v>557509533.00999999</v>
      </c>
      <c r="AI42" s="5">
        <f>591440239.79-33140218.87</f>
        <v>558300020.91999996</v>
      </c>
      <c r="AJ42" s="39">
        <v>1947</v>
      </c>
      <c r="AK42" s="39">
        <f t="shared" si="0"/>
        <v>74</v>
      </c>
      <c r="AL42" s="39">
        <v>1</v>
      </c>
      <c r="AM42" s="39">
        <v>1</v>
      </c>
      <c r="AN42" s="39" t="s">
        <v>17</v>
      </c>
    </row>
    <row r="43" spans="1:40" ht="45" x14ac:dyDescent="0.25">
      <c r="A43" s="4" t="s">
        <v>180</v>
      </c>
      <c r="B43" s="17" t="s">
        <v>178</v>
      </c>
      <c r="C43" s="8" t="s">
        <v>179</v>
      </c>
      <c r="D43" s="5">
        <f>80517582</f>
        <v>80517582</v>
      </c>
      <c r="E43" s="5">
        <f>84392183</f>
        <v>84392183</v>
      </c>
      <c r="F43" s="5">
        <f>87229546</f>
        <v>87229546</v>
      </c>
      <c r="G43" s="5">
        <f>89600590</f>
        <v>89600590</v>
      </c>
      <c r="H43" s="5">
        <v>0</v>
      </c>
      <c r="I43" s="5">
        <v>0</v>
      </c>
      <c r="J43" s="5">
        <v>0</v>
      </c>
      <c r="K43" s="5">
        <v>0</v>
      </c>
      <c r="L43" s="5">
        <v>39175</v>
      </c>
      <c r="M43" s="5">
        <v>48009</v>
      </c>
      <c r="N43" s="5">
        <v>49233</v>
      </c>
      <c r="O43" s="5">
        <v>14629</v>
      </c>
      <c r="P43" s="5">
        <v>4294875</v>
      </c>
      <c r="Q43" s="5">
        <v>6325483</v>
      </c>
      <c r="R43" s="5">
        <v>5431974</v>
      </c>
      <c r="S43" s="5">
        <v>7553021</v>
      </c>
      <c r="T43" s="5">
        <f>80517582-4294875</f>
        <v>76222707</v>
      </c>
      <c r="U43" s="5">
        <f>84392188-6325483</f>
        <v>78066705</v>
      </c>
      <c r="V43" s="5">
        <f>87229546-5431974</f>
        <v>81797572</v>
      </c>
      <c r="W43" s="5">
        <f>89600590-7553021</f>
        <v>82047569</v>
      </c>
      <c r="X43" s="5"/>
      <c r="Y43" s="5"/>
      <c r="Z43" s="5"/>
      <c r="AA43" s="5"/>
      <c r="AB43" s="5">
        <v>69918262</v>
      </c>
      <c r="AC43" s="5">
        <v>63791998</v>
      </c>
      <c r="AD43" s="5">
        <v>58523451</v>
      </c>
      <c r="AE43" s="5">
        <v>75394325</v>
      </c>
      <c r="AF43" s="5">
        <f>44893271-5000934</f>
        <v>39892337</v>
      </c>
      <c r="AG43" s="5">
        <f>41160577-36000</f>
        <v>41124577</v>
      </c>
      <c r="AH43" s="5">
        <f>41141520-31200</f>
        <v>41110320</v>
      </c>
      <c r="AI43" s="5">
        <f>51686720-10994988</f>
        <v>40691732</v>
      </c>
      <c r="AJ43" s="39">
        <v>1980</v>
      </c>
      <c r="AK43" s="39">
        <f t="shared" si="0"/>
        <v>41</v>
      </c>
      <c r="AL43" s="39">
        <v>3</v>
      </c>
      <c r="AM43" s="39">
        <v>1</v>
      </c>
      <c r="AN43" s="39" t="s">
        <v>181</v>
      </c>
    </row>
    <row r="44" spans="1:40" ht="60" x14ac:dyDescent="0.25">
      <c r="A44" s="4" t="s">
        <v>183</v>
      </c>
      <c r="B44" s="17" t="s">
        <v>182</v>
      </c>
      <c r="C44" s="8" t="s">
        <v>184</v>
      </c>
      <c r="D44" s="5">
        <f>6800487-17081</f>
        <v>6783406</v>
      </c>
      <c r="E44" s="5">
        <f>7582666-85718</f>
        <v>7496948</v>
      </c>
      <c r="F44" s="5">
        <f>9719827+84477</f>
        <v>9804304</v>
      </c>
      <c r="G44" s="5">
        <f>8372499+14613</f>
        <v>8387112</v>
      </c>
      <c r="H44" s="5">
        <f>25905-17081</f>
        <v>8824</v>
      </c>
      <c r="I44" s="5">
        <v>0</v>
      </c>
      <c r="J44" s="5">
        <v>84477</v>
      </c>
      <c r="K44" s="5">
        <v>14613</v>
      </c>
      <c r="L44" s="5">
        <v>305002</v>
      </c>
      <c r="M44" s="5">
        <v>318638</v>
      </c>
      <c r="N44" s="5">
        <v>287734</v>
      </c>
      <c r="O44" s="5">
        <v>272967</v>
      </c>
      <c r="P44" s="5">
        <f>5919564+83760+69884+305002+240000</f>
        <v>6618210</v>
      </c>
      <c r="Q44" s="5">
        <f>6650615+66013+318638+240000</f>
        <v>7275266</v>
      </c>
      <c r="R44" s="41" t="s">
        <v>115</v>
      </c>
      <c r="S44" s="41" t="s">
        <v>115</v>
      </c>
      <c r="T44" s="5">
        <f>156372+25905-17081</f>
        <v>165196</v>
      </c>
      <c r="U44" s="5">
        <f>287660+19740-85718</f>
        <v>221682</v>
      </c>
      <c r="V44" s="41" t="s">
        <v>115</v>
      </c>
      <c r="W44" s="41" t="s">
        <v>115</v>
      </c>
      <c r="X44" s="5"/>
      <c r="Y44" s="5"/>
      <c r="Z44" s="5"/>
      <c r="AA44" s="5"/>
      <c r="AB44" s="5">
        <v>1769924</v>
      </c>
      <c r="AC44" s="5">
        <v>1780868</v>
      </c>
      <c r="AD44" s="5">
        <v>1947135</v>
      </c>
      <c r="AE44" s="5">
        <v>4597123</v>
      </c>
      <c r="AF44" s="5">
        <f>135074+5787</f>
        <v>140861</v>
      </c>
      <c r="AG44" s="5">
        <f>193034+2450</f>
        <v>195484</v>
      </c>
      <c r="AH44" s="5">
        <f>580+3508</f>
        <v>4088</v>
      </c>
      <c r="AI44" s="5">
        <f>9864+1472+10834</f>
        <v>22170</v>
      </c>
      <c r="AJ44" s="39">
        <v>1997</v>
      </c>
      <c r="AK44" s="39">
        <f t="shared" si="0"/>
        <v>24</v>
      </c>
      <c r="AL44" s="39">
        <v>1</v>
      </c>
      <c r="AM44" s="39">
        <v>1</v>
      </c>
      <c r="AN44" s="39" t="s">
        <v>185</v>
      </c>
    </row>
    <row r="45" spans="1:40" ht="45" x14ac:dyDescent="0.25">
      <c r="A45" s="4" t="s">
        <v>187</v>
      </c>
      <c r="B45" s="17" t="s">
        <v>186</v>
      </c>
      <c r="C45" s="8" t="s">
        <v>188</v>
      </c>
      <c r="D45" s="5">
        <f>118664000+393000</f>
        <v>119057000</v>
      </c>
      <c r="E45" s="5">
        <f>138739000+699000</f>
        <v>139438000</v>
      </c>
      <c r="F45" s="5">
        <f>154762000+1261000</f>
        <v>156023000</v>
      </c>
      <c r="G45" s="5">
        <f>159706000+929000</f>
        <v>160635000</v>
      </c>
      <c r="H45" s="5">
        <v>393000</v>
      </c>
      <c r="I45" s="5">
        <v>699000</v>
      </c>
      <c r="J45" s="5">
        <v>1261000</v>
      </c>
      <c r="K45" s="5">
        <v>929000</v>
      </c>
      <c r="L45" s="5">
        <v>2120000</v>
      </c>
      <c r="M45" s="5">
        <v>2077000</v>
      </c>
      <c r="N45" s="5">
        <v>9150000</v>
      </c>
      <c r="O45" s="5">
        <v>1152000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v>125430000</v>
      </c>
      <c r="AC45" s="5">
        <v>139088000</v>
      </c>
      <c r="AD45" s="5">
        <v>154140000</v>
      </c>
      <c r="AE45" s="5">
        <v>172942000</v>
      </c>
      <c r="AF45" s="5">
        <v>71943000</v>
      </c>
      <c r="AG45" s="5">
        <v>71596000</v>
      </c>
      <c r="AH45" s="5">
        <f>78760000-151000</f>
        <v>78609000</v>
      </c>
      <c r="AI45" s="5">
        <f>73238000-111000</f>
        <v>73127000</v>
      </c>
      <c r="AJ45" s="39">
        <v>1991</v>
      </c>
      <c r="AK45" s="39">
        <f t="shared" si="0"/>
        <v>30</v>
      </c>
      <c r="AL45" s="39">
        <v>3</v>
      </c>
      <c r="AM45" s="39">
        <v>1</v>
      </c>
      <c r="AN45" s="39" t="s">
        <v>5</v>
      </c>
    </row>
    <row r="46" spans="1:40" ht="30" x14ac:dyDescent="0.25">
      <c r="A46" s="4" t="s">
        <v>190</v>
      </c>
      <c r="B46" s="17" t="s">
        <v>189</v>
      </c>
      <c r="C46" s="8" t="s">
        <v>191</v>
      </c>
      <c r="D46" s="5">
        <f>81282000+963000</f>
        <v>82245000</v>
      </c>
      <c r="E46" s="5">
        <f>49498000+174000</f>
        <v>49672000</v>
      </c>
      <c r="F46" s="5">
        <f>63008000+1756000</f>
        <v>64764000</v>
      </c>
      <c r="G46" s="5">
        <f>64413000</f>
        <v>64413000</v>
      </c>
      <c r="H46" s="5">
        <v>963000</v>
      </c>
      <c r="I46" s="5">
        <v>174000</v>
      </c>
      <c r="J46" s="5">
        <v>992000</v>
      </c>
      <c r="K46" s="5">
        <v>0</v>
      </c>
      <c r="L46" s="41" t="s">
        <v>115</v>
      </c>
      <c r="M46" s="41" t="s">
        <v>115</v>
      </c>
      <c r="N46" s="5">
        <v>212000</v>
      </c>
      <c r="O46" s="5">
        <v>171000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>
        <v>23089000</v>
      </c>
      <c r="AC46" s="5">
        <v>27838000</v>
      </c>
      <c r="AD46" s="5">
        <v>46712000</v>
      </c>
      <c r="AE46" s="5">
        <v>44153000</v>
      </c>
      <c r="AF46" s="5">
        <v>2062000</v>
      </c>
      <c r="AG46" s="5">
        <v>2737000</v>
      </c>
      <c r="AH46" s="5">
        <v>2628000</v>
      </c>
      <c r="AI46" s="5">
        <v>1845000</v>
      </c>
      <c r="AJ46" s="39">
        <v>1996</v>
      </c>
      <c r="AK46" s="39">
        <f t="shared" si="0"/>
        <v>25</v>
      </c>
      <c r="AL46" s="39">
        <v>4</v>
      </c>
      <c r="AM46" s="39">
        <v>1</v>
      </c>
      <c r="AN46" s="39" t="s">
        <v>192</v>
      </c>
    </row>
    <row r="47" spans="1:40" s="15" customFormat="1" ht="60" x14ac:dyDescent="0.25">
      <c r="A47" s="11" t="s">
        <v>194</v>
      </c>
      <c r="B47" s="12" t="s">
        <v>193</v>
      </c>
      <c r="C47" s="16" t="s">
        <v>341</v>
      </c>
      <c r="D47" s="14">
        <f>306865.19+6213.31+14125.76</f>
        <v>327204.26</v>
      </c>
      <c r="E47" s="14">
        <f>185477.39+911.63+1089.24</f>
        <v>187478.26</v>
      </c>
      <c r="F47" s="14">
        <f>204.52+60005.19</f>
        <v>60209.71</v>
      </c>
      <c r="G47" s="14">
        <f>77082.58+0.31</f>
        <v>77082.89</v>
      </c>
      <c r="H47" s="14">
        <f>6213.31-1789.26</f>
        <v>4424.05</v>
      </c>
      <c r="I47" s="14">
        <v>0</v>
      </c>
      <c r="J47" s="14">
        <v>0</v>
      </c>
      <c r="K47" s="14">
        <v>0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>
        <v>149056.70000000001</v>
      </c>
      <c r="AC47" s="14">
        <v>180709.98</v>
      </c>
      <c r="AD47" s="14">
        <f>172179.73</f>
        <v>172179.73</v>
      </c>
      <c r="AE47" s="14">
        <v>124178.1</v>
      </c>
      <c r="AF47" s="14">
        <v>78946.31</v>
      </c>
      <c r="AG47" s="14">
        <v>150489.57999999999</v>
      </c>
      <c r="AH47" s="14">
        <v>148444.82</v>
      </c>
      <c r="AI47" s="14">
        <v>35513.29</v>
      </c>
      <c r="AJ47" s="44">
        <v>1985</v>
      </c>
      <c r="AK47" s="44">
        <f t="shared" si="0"/>
        <v>36</v>
      </c>
      <c r="AL47" s="44">
        <v>3</v>
      </c>
      <c r="AM47" s="44">
        <v>2</v>
      </c>
      <c r="AN47" s="44" t="s">
        <v>195</v>
      </c>
    </row>
    <row r="48" spans="1:40" s="15" customFormat="1" ht="45" x14ac:dyDescent="0.25">
      <c r="A48" s="11" t="s">
        <v>197</v>
      </c>
      <c r="B48" s="12" t="s">
        <v>196</v>
      </c>
      <c r="C48" s="16" t="s">
        <v>198</v>
      </c>
      <c r="D48" s="14">
        <f>7309695+379981+2744902</f>
        <v>10434578</v>
      </c>
      <c r="E48" s="14">
        <f>9131200</f>
        <v>9131200</v>
      </c>
      <c r="F48" s="14">
        <f>10519166</f>
        <v>10519166</v>
      </c>
      <c r="G48" s="14">
        <v>10192469</v>
      </c>
      <c r="H48" s="14">
        <f>73745-24677</f>
        <v>49068</v>
      </c>
      <c r="I48" s="14">
        <f>54178-49697</f>
        <v>4481</v>
      </c>
      <c r="J48" s="14">
        <f>69676-33980</f>
        <v>35696</v>
      </c>
      <c r="K48" s="14">
        <v>0</v>
      </c>
      <c r="L48" s="14">
        <v>379981</v>
      </c>
      <c r="M48" s="14">
        <v>318380</v>
      </c>
      <c r="N48" s="14">
        <v>341980</v>
      </c>
      <c r="O48" s="14">
        <v>80021</v>
      </c>
      <c r="P48" s="14">
        <v>7689676</v>
      </c>
      <c r="Q48" s="14">
        <v>7039364</v>
      </c>
      <c r="R48" s="14">
        <v>7971142</v>
      </c>
      <c r="S48" s="14">
        <v>7245338</v>
      </c>
      <c r="T48" s="14">
        <f>2744902-24677</f>
        <v>2720225</v>
      </c>
      <c r="U48" s="14">
        <f>2091835--49697</f>
        <v>2141532</v>
      </c>
      <c r="V48" s="14">
        <f>2548025-33980</f>
        <v>2514045</v>
      </c>
      <c r="W48" s="14">
        <v>2947132</v>
      </c>
      <c r="X48" s="14"/>
      <c r="Y48" s="14"/>
      <c r="Z48" s="14"/>
      <c r="AA48" s="14"/>
      <c r="AB48" s="14">
        <v>12971479</v>
      </c>
      <c r="AC48" s="14">
        <v>12428688</v>
      </c>
      <c r="AD48" s="14">
        <v>17223240</v>
      </c>
      <c r="AE48" s="14">
        <v>23442436</v>
      </c>
      <c r="AF48" s="14">
        <f>4099031+22565</f>
        <v>4121596</v>
      </c>
      <c r="AG48" s="14">
        <f>3868485-21777</f>
        <v>3846708</v>
      </c>
      <c r="AH48" s="14">
        <f>5582240+12990</f>
        <v>5595230</v>
      </c>
      <c r="AI48" s="14">
        <f>5756394+12435</f>
        <v>5768829</v>
      </c>
      <c r="AJ48" s="44">
        <v>1998</v>
      </c>
      <c r="AK48" s="44">
        <f t="shared" si="0"/>
        <v>23</v>
      </c>
      <c r="AL48" s="44">
        <v>2</v>
      </c>
      <c r="AM48" s="44">
        <v>2</v>
      </c>
      <c r="AN48" s="44" t="s">
        <v>5</v>
      </c>
    </row>
    <row r="49" spans="1:40" s="15" customFormat="1" ht="45" x14ac:dyDescent="0.25">
      <c r="A49" s="11" t="s">
        <v>202</v>
      </c>
      <c r="B49" s="12" t="s">
        <v>201</v>
      </c>
      <c r="C49" s="16" t="s">
        <v>203</v>
      </c>
      <c r="D49" s="14">
        <f>18277336</f>
        <v>18277336</v>
      </c>
      <c r="E49" s="14">
        <f>17629526</f>
        <v>17629526</v>
      </c>
      <c r="F49" s="14">
        <f>26016396</f>
        <v>26016396</v>
      </c>
      <c r="G49" s="14">
        <f>46373460</f>
        <v>46373460</v>
      </c>
      <c r="H49" s="14">
        <v>0</v>
      </c>
      <c r="I49" s="14">
        <v>0</v>
      </c>
      <c r="J49" s="14">
        <v>0</v>
      </c>
      <c r="K49" s="14">
        <v>276470</v>
      </c>
      <c r="L49" s="14">
        <v>460072</v>
      </c>
      <c r="M49" s="14">
        <v>501861</v>
      </c>
      <c r="N49" s="14">
        <v>480574</v>
      </c>
      <c r="O49" s="14">
        <v>581700</v>
      </c>
      <c r="P49" s="14">
        <f>5499498</f>
        <v>5499498</v>
      </c>
      <c r="Q49" s="14">
        <v>5292921</v>
      </c>
      <c r="R49" s="14">
        <f>5278625</f>
        <v>5278625</v>
      </c>
      <c r="S49" s="14">
        <v>3531207</v>
      </c>
      <c r="T49" s="14">
        <f>12777838-172943</f>
        <v>12604895</v>
      </c>
      <c r="U49" s="14">
        <f>12336605-273664</f>
        <v>12062941</v>
      </c>
      <c r="V49" s="14">
        <f>20737771-61226</f>
        <v>20676545</v>
      </c>
      <c r="W49" s="14">
        <f>544841+42842253</f>
        <v>43387094</v>
      </c>
      <c r="X49" s="14"/>
      <c r="Y49" s="14"/>
      <c r="Z49" s="14"/>
      <c r="AA49" s="14"/>
      <c r="AB49" s="14">
        <v>9295334</v>
      </c>
      <c r="AC49" s="14">
        <v>12341290</v>
      </c>
      <c r="AD49" s="14">
        <v>18117949</v>
      </c>
      <c r="AE49" s="14">
        <v>43136492</v>
      </c>
      <c r="AF49" s="14">
        <v>3982720</v>
      </c>
      <c r="AG49" s="14">
        <v>3900203</v>
      </c>
      <c r="AH49" s="14">
        <f>3446915+376688+2910</f>
        <v>3826513</v>
      </c>
      <c r="AI49" s="14">
        <f>3635502+321210+29120</f>
        <v>3985832</v>
      </c>
      <c r="AJ49" s="44">
        <v>1946</v>
      </c>
      <c r="AK49" s="44">
        <f t="shared" si="0"/>
        <v>75</v>
      </c>
      <c r="AL49" s="44">
        <v>1</v>
      </c>
      <c r="AM49" s="44">
        <v>2</v>
      </c>
      <c r="AN49" s="44" t="s">
        <v>5</v>
      </c>
    </row>
    <row r="50" spans="1:40" ht="45" x14ac:dyDescent="0.25">
      <c r="A50" s="4" t="s">
        <v>205</v>
      </c>
      <c r="B50" s="17" t="s">
        <v>204</v>
      </c>
      <c r="C50" s="8" t="s">
        <v>206</v>
      </c>
      <c r="D50" s="5">
        <f>29225000+425000</f>
        <v>29650000</v>
      </c>
      <c r="E50" s="5">
        <f>30960000+32000+233000</f>
        <v>31225000</v>
      </c>
      <c r="F50" s="5">
        <f>30659000+85000+374000</f>
        <v>31118000</v>
      </c>
      <c r="G50" s="5">
        <f>28857000+112000+218000</f>
        <v>29187000</v>
      </c>
      <c r="H50" s="5">
        <v>425000</v>
      </c>
      <c r="I50" s="5">
        <v>233000</v>
      </c>
      <c r="J50" s="5">
        <v>374000</v>
      </c>
      <c r="K50" s="5">
        <v>218000</v>
      </c>
      <c r="L50" s="5">
        <v>2122000</v>
      </c>
      <c r="M50" s="5">
        <v>405000</v>
      </c>
      <c r="N50" s="5">
        <v>508000</v>
      </c>
      <c r="O50" s="5">
        <v>492000</v>
      </c>
      <c r="P50" s="5">
        <f>D50-5000000</f>
        <v>24650000</v>
      </c>
      <c r="Q50" s="5">
        <f>E50-3750000</f>
        <v>27475000</v>
      </c>
      <c r="R50" s="5">
        <f>F50-2500000-223000</f>
        <v>28395000</v>
      </c>
      <c r="S50" s="5">
        <f>G50-2250000</f>
        <v>26937000</v>
      </c>
      <c r="T50" s="5">
        <f>H50+5000000</f>
        <v>5425000</v>
      </c>
      <c r="U50" s="5">
        <f>I50+3750000</f>
        <v>3983000</v>
      </c>
      <c r="V50" s="5">
        <f>2500000+J50</f>
        <v>2874000</v>
      </c>
      <c r="W50" s="5">
        <f>2250000+K50</f>
        <v>2468000</v>
      </c>
      <c r="X50" s="5"/>
      <c r="Y50" s="5"/>
      <c r="Z50" s="5"/>
      <c r="AA50" s="5"/>
      <c r="AB50" s="5">
        <f>104025000</f>
        <v>104025000</v>
      </c>
      <c r="AC50" s="5">
        <v>106680000</v>
      </c>
      <c r="AD50" s="5">
        <v>101239000</v>
      </c>
      <c r="AE50" s="5">
        <v>98944000</v>
      </c>
      <c r="AF50" s="5">
        <v>6075000</v>
      </c>
      <c r="AG50" s="5">
        <v>7631000</v>
      </c>
      <c r="AH50" s="5">
        <v>7670000</v>
      </c>
      <c r="AI50" s="5">
        <v>7404000</v>
      </c>
      <c r="AJ50" s="39">
        <v>2008</v>
      </c>
      <c r="AK50" s="39">
        <f t="shared" si="0"/>
        <v>13</v>
      </c>
      <c r="AL50" s="39">
        <v>4</v>
      </c>
      <c r="AM50" s="39">
        <v>2</v>
      </c>
      <c r="AN50" s="39" t="s">
        <v>147</v>
      </c>
    </row>
    <row r="51" spans="1:40" ht="45" x14ac:dyDescent="0.25">
      <c r="A51" s="4" t="s">
        <v>208</v>
      </c>
      <c r="B51" s="17" t="s">
        <v>207</v>
      </c>
      <c r="C51" s="8" t="s">
        <v>209</v>
      </c>
      <c r="D51" s="5">
        <f>30397021</f>
        <v>30397021</v>
      </c>
      <c r="E51" s="5">
        <f>31881810</f>
        <v>31881810</v>
      </c>
      <c r="F51" s="5">
        <f>29045622</f>
        <v>29045622</v>
      </c>
      <c r="G51" s="5">
        <f>30813824</f>
        <v>30813824</v>
      </c>
      <c r="H51" s="5">
        <f>2288006-451698</f>
        <v>1836308</v>
      </c>
      <c r="I51" s="5">
        <f>1427552-468025</f>
        <v>959527</v>
      </c>
      <c r="J51" s="5">
        <f>1484383-501833</f>
        <v>982550</v>
      </c>
      <c r="K51" s="5">
        <f>677743-574260</f>
        <v>103483</v>
      </c>
      <c r="L51" s="5">
        <v>658743</v>
      </c>
      <c r="M51" s="5">
        <v>449270</v>
      </c>
      <c r="N51" s="5">
        <v>684038</v>
      </c>
      <c r="O51" s="5">
        <v>668591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>
        <v>43475338</v>
      </c>
      <c r="AC51" s="5">
        <v>46586058</v>
      </c>
      <c r="AD51" s="5">
        <v>49134176</v>
      </c>
      <c r="AE51" s="5">
        <v>57195177</v>
      </c>
      <c r="AF51" s="5">
        <f>304555+51002</f>
        <v>355557</v>
      </c>
      <c r="AG51" s="5">
        <f>232380+48948</f>
        <v>281328</v>
      </c>
      <c r="AH51" s="5">
        <v>199281</v>
      </c>
      <c r="AI51" s="5">
        <v>207785</v>
      </c>
      <c r="AJ51" s="39">
        <v>1990</v>
      </c>
      <c r="AK51" s="39">
        <f t="shared" si="0"/>
        <v>31</v>
      </c>
      <c r="AL51" s="39">
        <v>1</v>
      </c>
      <c r="AM51" s="39">
        <v>2</v>
      </c>
      <c r="AN51" s="39" t="s">
        <v>5</v>
      </c>
    </row>
    <row r="52" spans="1:40" s="22" customFormat="1" ht="62.45" customHeight="1" x14ac:dyDescent="0.25">
      <c r="A52" s="18" t="s">
        <v>211</v>
      </c>
      <c r="B52" s="19" t="s">
        <v>210</v>
      </c>
      <c r="C52" s="20" t="s">
        <v>215</v>
      </c>
      <c r="D52" s="21">
        <f>324571.16-1820.74</f>
        <v>322750.42</v>
      </c>
      <c r="E52" s="21">
        <f>336691.47+8965.23</f>
        <v>345656.69999999995</v>
      </c>
      <c r="F52" s="21">
        <f>465178.09+7216.47</f>
        <v>472394.56</v>
      </c>
      <c r="G52" s="41" t="s">
        <v>115</v>
      </c>
      <c r="H52" s="21">
        <v>0</v>
      </c>
      <c r="I52" s="21">
        <v>0</v>
      </c>
      <c r="J52" s="21">
        <v>0</v>
      </c>
      <c r="K52" s="41" t="s">
        <v>115</v>
      </c>
      <c r="L52" s="21">
        <v>80520</v>
      </c>
      <c r="M52" s="21">
        <v>63800</v>
      </c>
      <c r="N52" s="21">
        <v>89320</v>
      </c>
      <c r="O52" s="41" t="s">
        <v>115</v>
      </c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>
        <v>43257.16</v>
      </c>
      <c r="AC52" s="21">
        <v>66440.19</v>
      </c>
      <c r="AD52" s="21">
        <v>94156.59</v>
      </c>
      <c r="AE52" s="41" t="s">
        <v>115</v>
      </c>
      <c r="AF52" s="21">
        <v>34798.160000000003</v>
      </c>
      <c r="AG52" s="21">
        <v>50385.85</v>
      </c>
      <c r="AH52" s="21">
        <v>71131.929999999993</v>
      </c>
      <c r="AI52" s="41" t="s">
        <v>115</v>
      </c>
      <c r="AJ52" s="39">
        <v>2009</v>
      </c>
      <c r="AK52" s="39">
        <f t="shared" si="0"/>
        <v>12</v>
      </c>
      <c r="AL52" s="39">
        <v>1</v>
      </c>
      <c r="AM52" s="39">
        <v>1</v>
      </c>
      <c r="AN52" s="39" t="s">
        <v>212</v>
      </c>
    </row>
    <row r="53" spans="1:40" s="22" customFormat="1" ht="45" x14ac:dyDescent="0.25">
      <c r="A53" s="18" t="s">
        <v>214</v>
      </c>
      <c r="B53" s="19" t="s">
        <v>213</v>
      </c>
      <c r="C53" s="20" t="s">
        <v>335</v>
      </c>
      <c r="D53" s="21">
        <f>128000+774000+477000+2441000+251000+4886000</f>
        <v>8957000</v>
      </c>
      <c r="E53" s="21">
        <f>796000+482000+1200000+7000+213000+6799000</f>
        <v>9497000</v>
      </c>
      <c r="F53" s="21">
        <f>676000+388000+1001000+18000+225000+126000+7010000</f>
        <v>9444000</v>
      </c>
      <c r="G53" s="41" t="s">
        <v>115</v>
      </c>
      <c r="H53" s="21">
        <v>251000</v>
      </c>
      <c r="I53" s="21">
        <v>213000</v>
      </c>
      <c r="J53" s="21">
        <v>225000</v>
      </c>
      <c r="K53" s="41" t="s">
        <v>115</v>
      </c>
      <c r="L53" s="41" t="s">
        <v>115</v>
      </c>
      <c r="M53" s="21">
        <v>7000</v>
      </c>
      <c r="N53" s="21">
        <v>18000</v>
      </c>
      <c r="O53" s="41" t="s">
        <v>115</v>
      </c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>
        <v>9580000</v>
      </c>
      <c r="AC53" s="21">
        <v>10758000</v>
      </c>
      <c r="AD53" s="21">
        <v>9876000</v>
      </c>
      <c r="AE53" s="41" t="s">
        <v>115</v>
      </c>
      <c r="AF53" s="21">
        <f>211000+43000</f>
        <v>254000</v>
      </c>
      <c r="AG53" s="21">
        <f>230000+32000</f>
        <v>262000</v>
      </c>
      <c r="AH53" s="21">
        <f>242000+18000</f>
        <v>260000</v>
      </c>
      <c r="AI53" s="41" t="s">
        <v>115</v>
      </c>
      <c r="AJ53" s="39">
        <v>1991</v>
      </c>
      <c r="AK53" s="39">
        <f t="shared" si="0"/>
        <v>30</v>
      </c>
      <c r="AL53" s="39">
        <v>2</v>
      </c>
      <c r="AM53" s="39">
        <v>1</v>
      </c>
      <c r="AN53" s="39" t="s">
        <v>5</v>
      </c>
    </row>
    <row r="54" spans="1:40" ht="45" x14ac:dyDescent="0.25">
      <c r="A54" s="4" t="s">
        <v>217</v>
      </c>
      <c r="B54" s="17" t="s">
        <v>216</v>
      </c>
      <c r="C54" s="8" t="s">
        <v>209</v>
      </c>
      <c r="D54" s="5">
        <f>23631000+706000+84000+11000+111000+64000</f>
        <v>24607000</v>
      </c>
      <c r="E54" s="5">
        <f>23716000+723000+82000+34000+183000</f>
        <v>24738000</v>
      </c>
      <c r="F54" s="5">
        <f>26542000+824000+377000+67000+129000+1270000+14000</f>
        <v>29223000</v>
      </c>
      <c r="G54" s="5">
        <f>32750000+850000+677000+28000+114000</f>
        <v>34419000</v>
      </c>
      <c r="H54" s="5">
        <f>0</f>
        <v>0</v>
      </c>
      <c r="I54" s="5">
        <v>0</v>
      </c>
      <c r="J54" s="5">
        <v>0</v>
      </c>
      <c r="K54" s="5">
        <v>0</v>
      </c>
      <c r="L54" s="5">
        <v>36000</v>
      </c>
      <c r="M54" s="5">
        <v>50000</v>
      </c>
      <c r="N54" s="5">
        <v>39000</v>
      </c>
      <c r="O54" s="5">
        <v>18000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>
        <v>5664000</v>
      </c>
      <c r="AC54" s="5">
        <v>6284000</v>
      </c>
      <c r="AD54" s="5">
        <v>5765000</v>
      </c>
      <c r="AE54" s="5">
        <v>6241000</v>
      </c>
      <c r="AF54" s="5">
        <v>4313000</v>
      </c>
      <c r="AG54" s="5">
        <v>4095000</v>
      </c>
      <c r="AH54" s="5">
        <v>3957000</v>
      </c>
      <c r="AI54" s="5">
        <v>4649000</v>
      </c>
      <c r="AJ54" s="39">
        <v>1966</v>
      </c>
      <c r="AK54" s="39">
        <f t="shared" ref="AK54:AK79" si="1">2021-AJ54</f>
        <v>55</v>
      </c>
      <c r="AL54" s="39">
        <v>1</v>
      </c>
      <c r="AM54" s="39">
        <v>1</v>
      </c>
      <c r="AN54" s="39" t="s">
        <v>17</v>
      </c>
    </row>
    <row r="55" spans="1:40" ht="45" x14ac:dyDescent="0.25">
      <c r="A55" s="4" t="s">
        <v>222</v>
      </c>
      <c r="B55" s="17" t="s">
        <v>221</v>
      </c>
      <c r="C55" s="8" t="s">
        <v>342</v>
      </c>
      <c r="D55" s="5">
        <f>5498620+328566+45458</f>
        <v>5872644</v>
      </c>
      <c r="E55" s="5">
        <f>5743779+87553</f>
        <v>5831332</v>
      </c>
      <c r="F55" s="5">
        <f>6719473+126290+11962</f>
        <v>6857725</v>
      </c>
      <c r="G55" s="5">
        <f>7154913+107652+15427</f>
        <v>7277992</v>
      </c>
      <c r="H55" s="5">
        <v>45458</v>
      </c>
      <c r="I55" s="5">
        <v>0</v>
      </c>
      <c r="J55" s="5">
        <v>11962</v>
      </c>
      <c r="K55" s="5">
        <v>15427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>
        <f>8542680</f>
        <v>8542680</v>
      </c>
      <c r="AC55" s="5">
        <v>8096927</v>
      </c>
      <c r="AD55" s="5">
        <v>8963517</v>
      </c>
      <c r="AE55" s="5">
        <v>9317459</v>
      </c>
      <c r="AF55" s="5">
        <v>7597199</v>
      </c>
      <c r="AG55" s="5">
        <v>7235350</v>
      </c>
      <c r="AH55" s="5">
        <v>7245942</v>
      </c>
      <c r="AI55" s="5">
        <v>7391653</v>
      </c>
      <c r="AJ55" s="39">
        <v>1989</v>
      </c>
      <c r="AK55" s="39">
        <f t="shared" si="1"/>
        <v>32</v>
      </c>
      <c r="AL55" s="39">
        <v>3</v>
      </c>
      <c r="AM55" s="39">
        <v>1</v>
      </c>
      <c r="AN55" s="39" t="s">
        <v>223</v>
      </c>
    </row>
    <row r="56" spans="1:40" s="15" customFormat="1" ht="60" x14ac:dyDescent="0.25">
      <c r="A56" s="11" t="s">
        <v>225</v>
      </c>
      <c r="B56" s="12" t="s">
        <v>224</v>
      </c>
      <c r="C56" s="16" t="s">
        <v>228</v>
      </c>
      <c r="D56" s="14">
        <f>15317000+337000</f>
        <v>15654000</v>
      </c>
      <c r="E56" s="14">
        <f>8808000+284000</f>
        <v>9092000</v>
      </c>
      <c r="F56" s="14">
        <f>10463000+263000</f>
        <v>10726000</v>
      </c>
      <c r="G56" s="14">
        <f>7482000+134000</f>
        <v>7616000</v>
      </c>
      <c r="H56" s="14">
        <v>337000</v>
      </c>
      <c r="I56" s="14">
        <v>284000</v>
      </c>
      <c r="J56" s="14">
        <v>263000</v>
      </c>
      <c r="K56" s="14">
        <v>72000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>
        <v>7508000</v>
      </c>
      <c r="AC56" s="14">
        <v>7055000</v>
      </c>
      <c r="AD56" s="14">
        <v>5099000</v>
      </c>
      <c r="AE56" s="14">
        <v>3046000</v>
      </c>
      <c r="AF56" s="14">
        <v>150000</v>
      </c>
      <c r="AG56" s="14">
        <v>139000</v>
      </c>
      <c r="AH56" s="14">
        <v>125000</v>
      </c>
      <c r="AI56" s="14">
        <v>56000</v>
      </c>
      <c r="AJ56" s="44">
        <v>2008</v>
      </c>
      <c r="AK56" s="44">
        <f t="shared" si="1"/>
        <v>13</v>
      </c>
      <c r="AL56" s="44">
        <v>5</v>
      </c>
      <c r="AM56" s="44">
        <v>1</v>
      </c>
      <c r="AN56" s="44" t="s">
        <v>5</v>
      </c>
    </row>
    <row r="57" spans="1:40" s="15" customFormat="1" ht="45" x14ac:dyDescent="0.25">
      <c r="A57" s="11" t="s">
        <v>227</v>
      </c>
      <c r="B57" s="12" t="s">
        <v>226</v>
      </c>
      <c r="C57" s="16" t="s">
        <v>229</v>
      </c>
      <c r="D57" s="14">
        <f>22062057</f>
        <v>22062057</v>
      </c>
      <c r="E57" s="14">
        <f>23966053</f>
        <v>23966053</v>
      </c>
      <c r="F57" s="14">
        <f>25051779</f>
        <v>25051779</v>
      </c>
      <c r="G57" s="14">
        <f>23940633</f>
        <v>23940633</v>
      </c>
      <c r="H57" s="14">
        <v>0</v>
      </c>
      <c r="I57" s="14">
        <v>0</v>
      </c>
      <c r="J57" s="14">
        <v>0</v>
      </c>
      <c r="K57" s="14">
        <v>0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>
        <v>5547681</v>
      </c>
      <c r="AC57" s="14">
        <v>8240220</v>
      </c>
      <c r="AD57" s="14">
        <v>5572782</v>
      </c>
      <c r="AE57" s="14">
        <v>6539467</v>
      </c>
      <c r="AF57" s="14">
        <v>2690277</v>
      </c>
      <c r="AG57" s="14">
        <v>2738598</v>
      </c>
      <c r="AH57" s="14">
        <v>2607428</v>
      </c>
      <c r="AI57" s="14">
        <v>30255</v>
      </c>
      <c r="AJ57" s="39">
        <v>1987</v>
      </c>
      <c r="AK57" s="39">
        <f t="shared" si="1"/>
        <v>34</v>
      </c>
      <c r="AL57" s="39">
        <v>1</v>
      </c>
      <c r="AM57" s="39">
        <v>1</v>
      </c>
      <c r="AN57" s="39" t="s">
        <v>5</v>
      </c>
    </row>
    <row r="58" spans="1:40" s="22" customFormat="1" ht="75" x14ac:dyDescent="0.25">
      <c r="A58" s="18" t="s">
        <v>231</v>
      </c>
      <c r="B58" s="19" t="s">
        <v>230</v>
      </c>
      <c r="C58" s="20" t="s">
        <v>235</v>
      </c>
      <c r="D58" s="41" t="s">
        <v>115</v>
      </c>
      <c r="E58" s="21">
        <f>450360.22+2834.3-4704.12</f>
        <v>448490.39999999997</v>
      </c>
      <c r="F58" s="21">
        <f>302803.28+281.85-2853.68</f>
        <v>300231.45</v>
      </c>
      <c r="G58" s="21">
        <f>241384+330.07-1721.11</f>
        <v>239992.96000000002</v>
      </c>
      <c r="H58" s="41" t="s">
        <v>115</v>
      </c>
      <c r="I58" s="21">
        <v>0</v>
      </c>
      <c r="J58" s="21">
        <v>0</v>
      </c>
      <c r="K58" s="21">
        <v>0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41" t="s">
        <v>115</v>
      </c>
      <c r="AC58" s="21">
        <v>10763.48</v>
      </c>
      <c r="AD58" s="21">
        <v>16072.59</v>
      </c>
      <c r="AE58" s="21">
        <v>36706.449999999997</v>
      </c>
      <c r="AF58" s="41" t="s">
        <v>115</v>
      </c>
      <c r="AG58" s="21">
        <v>756.28</v>
      </c>
      <c r="AH58" s="21">
        <v>0</v>
      </c>
      <c r="AI58" s="21">
        <v>0</v>
      </c>
      <c r="AJ58" s="39">
        <v>1994</v>
      </c>
      <c r="AK58" s="39">
        <f t="shared" si="1"/>
        <v>27</v>
      </c>
      <c r="AL58" s="39">
        <v>1</v>
      </c>
      <c r="AM58" s="39">
        <v>1</v>
      </c>
      <c r="AN58" s="39" t="s">
        <v>51</v>
      </c>
    </row>
    <row r="59" spans="1:40" s="15" customFormat="1" ht="45" x14ac:dyDescent="0.25">
      <c r="A59" s="11" t="s">
        <v>233</v>
      </c>
      <c r="B59" s="12" t="s">
        <v>232</v>
      </c>
      <c r="C59" s="16" t="s">
        <v>234</v>
      </c>
      <c r="D59" s="14">
        <v>8957357.7899999991</v>
      </c>
      <c r="E59" s="14">
        <v>8380595.3200000003</v>
      </c>
      <c r="F59" s="14">
        <f>9234650.82-47895.71</f>
        <v>9186755.1099999994</v>
      </c>
      <c r="G59" s="14">
        <f>10746594.01-13970.64</f>
        <v>10732623.369999999</v>
      </c>
      <c r="H59" s="14">
        <v>0</v>
      </c>
      <c r="I59" s="14">
        <f>58603.18+40530.6</f>
        <v>99133.78</v>
      </c>
      <c r="J59" s="14">
        <f>0</f>
        <v>0</v>
      </c>
      <c r="K59" s="14">
        <f>20273.99-13970.64</f>
        <v>6303.3500000000022</v>
      </c>
      <c r="L59" s="14">
        <v>691580</v>
      </c>
      <c r="M59" s="14">
        <v>136290</v>
      </c>
      <c r="N59" s="14">
        <v>422415</v>
      </c>
      <c r="O59" s="14">
        <v>46955</v>
      </c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>
        <v>6341772.8399999999</v>
      </c>
      <c r="AC59" s="14">
        <v>5539437.21</v>
      </c>
      <c r="AD59" s="14">
        <v>14791401.27</v>
      </c>
      <c r="AE59" s="14">
        <v>13494962.52</v>
      </c>
      <c r="AF59" s="14">
        <v>4428141.42</v>
      </c>
      <c r="AG59" s="14">
        <v>4299575.01</v>
      </c>
      <c r="AH59" s="14">
        <v>4055152.47</v>
      </c>
      <c r="AI59" s="14">
        <v>3808739.89</v>
      </c>
      <c r="AJ59" s="44">
        <v>1994</v>
      </c>
      <c r="AK59" s="44">
        <f t="shared" si="1"/>
        <v>27</v>
      </c>
      <c r="AL59" s="44">
        <v>1</v>
      </c>
      <c r="AM59" s="44">
        <v>1</v>
      </c>
      <c r="AN59" s="44" t="s">
        <v>5</v>
      </c>
    </row>
    <row r="60" spans="1:40" ht="45" x14ac:dyDescent="0.25">
      <c r="A60" s="4" t="s">
        <v>237</v>
      </c>
      <c r="B60" s="17" t="s">
        <v>236</v>
      </c>
      <c r="C60" s="8" t="s">
        <v>238</v>
      </c>
      <c r="D60" s="5">
        <f>4500636+105345</f>
        <v>4605981</v>
      </c>
      <c r="E60" s="5">
        <f>5210397+196242</f>
        <v>5406639</v>
      </c>
      <c r="F60" s="5">
        <f>6115569+9309+4406</f>
        <v>6129284</v>
      </c>
      <c r="G60" s="5">
        <f>5670772+35242+65000</f>
        <v>5771014</v>
      </c>
      <c r="H60" s="5">
        <v>0</v>
      </c>
      <c r="I60" s="5">
        <v>0</v>
      </c>
      <c r="J60" s="5">
        <v>0</v>
      </c>
      <c r="K60" s="5">
        <v>0</v>
      </c>
      <c r="L60" s="5"/>
      <c r="M60" s="5"/>
      <c r="N60" s="5"/>
      <c r="O60" s="5"/>
      <c r="P60" s="5">
        <f>131698</f>
        <v>131698</v>
      </c>
      <c r="Q60" s="5">
        <v>408948</v>
      </c>
      <c r="R60" s="5">
        <v>246962</v>
      </c>
      <c r="S60" s="5">
        <v>221326</v>
      </c>
      <c r="T60" s="5">
        <f>4368938+105345</f>
        <v>4474283</v>
      </c>
      <c r="U60" s="5">
        <f>4801448+196242</f>
        <v>4997690</v>
      </c>
      <c r="V60" s="5">
        <f>5868607+9309+4406</f>
        <v>5882322</v>
      </c>
      <c r="W60" s="5">
        <f>5449445+35242+65000</f>
        <v>5549687</v>
      </c>
      <c r="X60" s="5"/>
      <c r="Y60" s="5"/>
      <c r="Z60" s="5"/>
      <c r="AA60" s="5"/>
      <c r="AB60" s="5">
        <v>5220855</v>
      </c>
      <c r="AC60" s="5">
        <v>5515419</v>
      </c>
      <c r="AD60" s="5">
        <v>6566937</v>
      </c>
      <c r="AE60" s="5">
        <v>8501527</v>
      </c>
      <c r="AF60" s="5">
        <f>4323779+22649+1125</f>
        <v>4347553</v>
      </c>
      <c r="AG60" s="5">
        <f>3975871+22313+1125</f>
        <v>3999309</v>
      </c>
      <c r="AH60" s="5">
        <f>4490402+31888+2849</f>
        <v>4525139</v>
      </c>
      <c r="AI60" s="5">
        <f>4476057+22287+2849</f>
        <v>4501193</v>
      </c>
      <c r="AJ60" s="39">
        <v>1995</v>
      </c>
      <c r="AK60" s="39">
        <f t="shared" si="1"/>
        <v>26</v>
      </c>
      <c r="AL60" s="39">
        <v>3</v>
      </c>
      <c r="AM60" s="39">
        <v>1</v>
      </c>
      <c r="AN60" s="39" t="s">
        <v>239</v>
      </c>
    </row>
    <row r="61" spans="1:40" ht="60" x14ac:dyDescent="0.25">
      <c r="A61" s="4" t="s">
        <v>244</v>
      </c>
      <c r="B61" s="17" t="s">
        <v>243</v>
      </c>
      <c r="C61" s="8" t="s">
        <v>246</v>
      </c>
      <c r="D61" s="5">
        <f>6872147.5+195123.98+711758.77</f>
        <v>7779030.25</v>
      </c>
      <c r="E61" s="5">
        <f>7252806.66+72778.71+27107.42</f>
        <v>7352692.79</v>
      </c>
      <c r="F61" s="5">
        <f>8092102.62+87210.64</f>
        <v>8179313.2599999998</v>
      </c>
      <c r="G61" s="5">
        <f>40593.94+10016185.57</f>
        <v>10056779.51</v>
      </c>
      <c r="H61" s="5">
        <v>195123.98</v>
      </c>
      <c r="I61" s="5">
        <v>72778.710000000006</v>
      </c>
      <c r="J61" s="5">
        <v>87210.64</v>
      </c>
      <c r="K61" s="5">
        <v>40593.94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>
        <v>8494070.8900000006</v>
      </c>
      <c r="AC61" s="5">
        <v>8669950.9199999999</v>
      </c>
      <c r="AD61" s="5">
        <v>9641486.6699999999</v>
      </c>
      <c r="AE61" s="5">
        <v>15441235.380000001</v>
      </c>
      <c r="AF61" s="5">
        <v>4663725.99</v>
      </c>
      <c r="AG61" s="5">
        <v>4851828.62</v>
      </c>
      <c r="AH61" s="5">
        <v>4597107.42</v>
      </c>
      <c r="AI61" s="5">
        <v>7288334.29</v>
      </c>
      <c r="AJ61" s="39">
        <v>1949</v>
      </c>
      <c r="AK61" s="39">
        <f t="shared" si="1"/>
        <v>72</v>
      </c>
      <c r="AL61" s="39">
        <v>1</v>
      </c>
      <c r="AM61" s="39">
        <v>1</v>
      </c>
      <c r="AN61" s="39" t="s">
        <v>245</v>
      </c>
    </row>
    <row r="62" spans="1:40" ht="30" x14ac:dyDescent="0.25">
      <c r="A62" s="4" t="s">
        <v>248</v>
      </c>
      <c r="B62" s="17" t="s">
        <v>247</v>
      </c>
      <c r="C62" s="8" t="s">
        <v>249</v>
      </c>
      <c r="D62" s="5">
        <f>1037171+750595+641230+7882+20662</f>
        <v>2457540</v>
      </c>
      <c r="E62" s="5">
        <f>2441803+745071+1368977+33869+44306</f>
        <v>4634026</v>
      </c>
      <c r="F62" s="5">
        <f>2310770+2271602+1296627+3026+147779</f>
        <v>6029804</v>
      </c>
      <c r="G62" s="5">
        <f>1666983+2592705+1113597+1716+50689</f>
        <v>5425690</v>
      </c>
      <c r="H62" s="5">
        <v>20662</v>
      </c>
      <c r="I62" s="5">
        <v>44306</v>
      </c>
      <c r="J62" s="5">
        <v>147779</v>
      </c>
      <c r="K62" s="5">
        <v>50689</v>
      </c>
      <c r="L62" s="5">
        <v>405862</v>
      </c>
      <c r="M62" s="5">
        <v>875010</v>
      </c>
      <c r="N62" s="5">
        <v>364570</v>
      </c>
      <c r="O62" s="5">
        <v>504617</v>
      </c>
      <c r="P62" s="5">
        <v>1037171</v>
      </c>
      <c r="Q62" s="5">
        <v>2441803</v>
      </c>
      <c r="R62" s="5">
        <v>2310770</v>
      </c>
      <c r="S62" s="5">
        <v>1666983</v>
      </c>
      <c r="T62" s="5">
        <f>750595+641230+7882+20662</f>
        <v>1420369</v>
      </c>
      <c r="U62" s="5">
        <f>745071+1368977+33869+44306</f>
        <v>2192223</v>
      </c>
      <c r="V62" s="5">
        <f>2271602+1296627+3026+147779</f>
        <v>3719034</v>
      </c>
      <c r="W62" s="5">
        <f>2592705+1113597+1716+50689</f>
        <v>3758707</v>
      </c>
      <c r="X62" s="5"/>
      <c r="Y62" s="5"/>
      <c r="Z62" s="5"/>
      <c r="AA62" s="5"/>
      <c r="AB62" s="5">
        <v>2915463</v>
      </c>
      <c r="AC62" s="5">
        <v>4202238</v>
      </c>
      <c r="AD62" s="5">
        <v>6245789</v>
      </c>
      <c r="AE62" s="5">
        <v>9145461</v>
      </c>
      <c r="AF62" s="5">
        <v>15129</v>
      </c>
      <c r="AG62" s="5">
        <v>32386</v>
      </c>
      <c r="AH62" s="5">
        <v>19244</v>
      </c>
      <c r="AI62" s="5">
        <v>30656</v>
      </c>
      <c r="AJ62" s="39">
        <v>2001</v>
      </c>
      <c r="AK62" s="39">
        <f t="shared" si="1"/>
        <v>20</v>
      </c>
      <c r="AL62" s="39">
        <v>2</v>
      </c>
      <c r="AM62" s="39">
        <v>1</v>
      </c>
      <c r="AN62" s="39" t="s">
        <v>5</v>
      </c>
    </row>
    <row r="63" spans="1:40" ht="45" x14ac:dyDescent="0.25">
      <c r="A63" s="4" t="s">
        <v>251</v>
      </c>
      <c r="B63" s="17" t="s">
        <v>250</v>
      </c>
      <c r="C63" s="8" t="s">
        <v>252</v>
      </c>
      <c r="D63" s="5">
        <f>6633793</f>
        <v>6633793</v>
      </c>
      <c r="E63" s="5">
        <f>2899630</f>
        <v>2899630</v>
      </c>
      <c r="F63" s="5">
        <f>2348390.87</f>
        <v>2348390.87</v>
      </c>
      <c r="G63" s="5">
        <f>4904944.52</f>
        <v>4904944.5199999996</v>
      </c>
      <c r="H63" s="5">
        <v>0</v>
      </c>
      <c r="I63" s="5">
        <v>0</v>
      </c>
      <c r="J63" s="5">
        <v>0</v>
      </c>
      <c r="K63" s="5">
        <v>0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>
        <v>5985908</v>
      </c>
      <c r="AC63" s="5">
        <v>4700260</v>
      </c>
      <c r="AD63" s="5">
        <v>5772559.3700000001</v>
      </c>
      <c r="AE63" s="5">
        <v>8359087.5599999996</v>
      </c>
      <c r="AF63" s="5">
        <v>3253908</v>
      </c>
      <c r="AG63" s="5">
        <v>3992968</v>
      </c>
      <c r="AH63" s="5">
        <f>721643.3+3932023.89-1011472.84+291.7</f>
        <v>3642486.0500000007</v>
      </c>
      <c r="AI63" s="5">
        <f>761103.95+1932946.33-1243626.21+6274.25</f>
        <v>1456698.3200000003</v>
      </c>
      <c r="AJ63" s="39">
        <v>1988</v>
      </c>
      <c r="AK63" s="39">
        <f t="shared" si="1"/>
        <v>33</v>
      </c>
      <c r="AL63" s="39">
        <v>4</v>
      </c>
      <c r="AM63" s="39">
        <v>1</v>
      </c>
      <c r="AN63" s="39" t="s">
        <v>253</v>
      </c>
    </row>
    <row r="64" spans="1:40" ht="45" x14ac:dyDescent="0.25">
      <c r="A64" s="4" t="s">
        <v>255</v>
      </c>
      <c r="B64" s="17" t="s">
        <v>254</v>
      </c>
      <c r="C64" s="8" t="s">
        <v>256</v>
      </c>
      <c r="D64" s="5">
        <f>14063573.91+92903.24</f>
        <v>14156477.15</v>
      </c>
      <c r="E64" s="5">
        <f>13496617.38+3965355.29+114774.25</f>
        <v>17576746.920000002</v>
      </c>
      <c r="F64" s="5">
        <f>14542452.09+906755.73</f>
        <v>15449207.82</v>
      </c>
      <c r="G64" s="5">
        <f>11372840.54+632675.55</f>
        <v>12005516.09</v>
      </c>
      <c r="H64" s="5">
        <v>92903.24</v>
      </c>
      <c r="I64" s="5">
        <v>114774.25</v>
      </c>
      <c r="J64" s="5">
        <v>906755.73</v>
      </c>
      <c r="K64" s="5">
        <v>632675.55000000005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>
        <v>18411571.010000002</v>
      </c>
      <c r="AC64" s="5">
        <v>22593773.629999999</v>
      </c>
      <c r="AD64" s="5">
        <v>23323582.41</v>
      </c>
      <c r="AE64" s="5">
        <v>32594391.41</v>
      </c>
      <c r="AF64" s="5">
        <f>15446041.13+3776.06</f>
        <v>15449817.190000001</v>
      </c>
      <c r="AG64" s="5">
        <f>11750000.4+4088617.37+2399.41</f>
        <v>15841017.18</v>
      </c>
      <c r="AH64" s="5">
        <f>15724719.38+3804012.6+1800</f>
        <v>19530531.98</v>
      </c>
      <c r="AI64" s="5">
        <f>24906878.97+3535077.18+0</f>
        <v>28441956.149999999</v>
      </c>
      <c r="AJ64" s="39">
        <v>1942</v>
      </c>
      <c r="AK64" s="39">
        <f t="shared" si="1"/>
        <v>79</v>
      </c>
      <c r="AL64" s="39">
        <v>1</v>
      </c>
      <c r="AM64" s="39">
        <v>1</v>
      </c>
      <c r="AN64" s="39" t="s">
        <v>5</v>
      </c>
    </row>
    <row r="65" spans="1:40" ht="45" x14ac:dyDescent="0.25">
      <c r="A65" s="4" t="s">
        <v>258</v>
      </c>
      <c r="B65" s="17" t="s">
        <v>257</v>
      </c>
      <c r="C65" s="8" t="s">
        <v>259</v>
      </c>
      <c r="D65" s="5">
        <v>11942958</v>
      </c>
      <c r="E65" s="5">
        <v>14266344</v>
      </c>
      <c r="F65" s="5">
        <v>16427062</v>
      </c>
      <c r="G65" s="5">
        <v>11685911</v>
      </c>
      <c r="H65" s="5">
        <v>698469</v>
      </c>
      <c r="I65" s="5">
        <v>521514</v>
      </c>
      <c r="J65" s="5">
        <v>465918</v>
      </c>
      <c r="K65" s="5">
        <v>332638</v>
      </c>
      <c r="L65" s="5">
        <v>37176</v>
      </c>
      <c r="M65" s="5">
        <v>633205</v>
      </c>
      <c r="N65" s="5">
        <v>533253</v>
      </c>
      <c r="O65" s="5">
        <v>115206</v>
      </c>
      <c r="P65" s="5">
        <v>6632229</v>
      </c>
      <c r="Q65" s="5">
        <v>7310497</v>
      </c>
      <c r="R65" s="5">
        <v>8611225</v>
      </c>
      <c r="S65" s="5">
        <v>3511117</v>
      </c>
      <c r="T65" s="5">
        <f>11942958-6632229</f>
        <v>5310729</v>
      </c>
      <c r="U65" s="5">
        <f>14266344-7310497</f>
        <v>6955847</v>
      </c>
      <c r="V65" s="5">
        <f>16427062-8611225</f>
        <v>7815837</v>
      </c>
      <c r="W65" s="5">
        <v>8174794</v>
      </c>
      <c r="X65" s="5"/>
      <c r="Y65" s="5"/>
      <c r="Z65" s="5"/>
      <c r="AA65" s="5"/>
      <c r="AB65" s="5">
        <v>27969087</v>
      </c>
      <c r="AC65" s="5">
        <v>30387820</v>
      </c>
      <c r="AD65" s="5">
        <v>30492956</v>
      </c>
      <c r="AE65" s="5">
        <v>33246002</v>
      </c>
      <c r="AF65" s="5">
        <f>27969087-18000356</f>
        <v>9968731</v>
      </c>
      <c r="AG65" s="5">
        <v>10211098</v>
      </c>
      <c r="AH65" s="5">
        <v>11927242</v>
      </c>
      <c r="AI65" s="5">
        <v>11374757</v>
      </c>
      <c r="AJ65" s="39">
        <v>1998</v>
      </c>
      <c r="AK65" s="39">
        <f t="shared" si="1"/>
        <v>23</v>
      </c>
      <c r="AL65" s="39">
        <v>3</v>
      </c>
      <c r="AM65" s="39">
        <v>1</v>
      </c>
      <c r="AN65" s="39" t="s">
        <v>5</v>
      </c>
    </row>
    <row r="66" spans="1:40" ht="45" x14ac:dyDescent="0.25">
      <c r="A66" s="4" t="s">
        <v>261</v>
      </c>
      <c r="B66" s="17" t="s">
        <v>260</v>
      </c>
      <c r="C66" s="8" t="s">
        <v>262</v>
      </c>
      <c r="D66" s="5">
        <f>10046091+27891+303242</f>
        <v>10377224</v>
      </c>
      <c r="E66" s="5">
        <f>10055370+10115+221252</f>
        <v>10286737</v>
      </c>
      <c r="F66" s="5">
        <f>9852209+293518+202675</f>
        <v>10348402</v>
      </c>
      <c r="G66" s="5">
        <f>8949978+52321+89636</f>
        <v>9091935</v>
      </c>
      <c r="H66" s="5">
        <f>303242-52198</f>
        <v>251044</v>
      </c>
      <c r="I66" s="5">
        <f>221252-33936</f>
        <v>187316</v>
      </c>
      <c r="J66" s="5">
        <f>202675-34675</f>
        <v>168000</v>
      </c>
      <c r="K66" s="5">
        <f>89636-34561</f>
        <v>55075</v>
      </c>
      <c r="L66" s="5">
        <v>510860</v>
      </c>
      <c r="M66" s="5">
        <v>527197</v>
      </c>
      <c r="N66" s="5">
        <v>569440</v>
      </c>
      <c r="O66" s="5">
        <v>604776</v>
      </c>
      <c r="P66" s="5">
        <v>2182052</v>
      </c>
      <c r="Q66" s="5">
        <v>1932655</v>
      </c>
      <c r="R66" s="5">
        <v>983000</v>
      </c>
      <c r="S66" s="5">
        <v>1247489</v>
      </c>
      <c r="T66" s="5">
        <f>7864039+27891+303242</f>
        <v>8195172</v>
      </c>
      <c r="U66" s="5">
        <f>8122715+10115+221252</f>
        <v>8354082</v>
      </c>
      <c r="V66" s="5">
        <f>8869209+293518+202675</f>
        <v>9365402</v>
      </c>
      <c r="W66" s="5">
        <f>7702489+52321+89636</f>
        <v>7844446</v>
      </c>
      <c r="X66" s="5"/>
      <c r="Y66" s="5"/>
      <c r="Z66" s="5"/>
      <c r="AA66" s="5"/>
      <c r="AB66" s="5">
        <v>20828285</v>
      </c>
      <c r="AC66" s="5">
        <v>17975368</v>
      </c>
      <c r="AD66" s="5">
        <v>17628349</v>
      </c>
      <c r="AE66" s="5">
        <v>13838990</v>
      </c>
      <c r="AF66" s="5">
        <v>11600530</v>
      </c>
      <c r="AG66" s="5">
        <v>11384435</v>
      </c>
      <c r="AH66" s="5">
        <v>11233116</v>
      </c>
      <c r="AI66" s="5">
        <v>7684933</v>
      </c>
      <c r="AJ66" s="39">
        <v>1964</v>
      </c>
      <c r="AK66" s="39">
        <f t="shared" si="1"/>
        <v>57</v>
      </c>
      <c r="AL66" s="39">
        <v>3</v>
      </c>
      <c r="AM66" s="39">
        <v>1</v>
      </c>
      <c r="AN66" s="39" t="s">
        <v>17</v>
      </c>
    </row>
    <row r="67" spans="1:40" ht="45" x14ac:dyDescent="0.25">
      <c r="A67" s="4" t="s">
        <v>264</v>
      </c>
      <c r="B67" s="17" t="s">
        <v>263</v>
      </c>
      <c r="C67" s="8" t="s">
        <v>265</v>
      </c>
      <c r="D67" s="5">
        <v>6695786</v>
      </c>
      <c r="E67" s="5">
        <v>6108141</v>
      </c>
      <c r="F67" s="5">
        <v>6388905</v>
      </c>
      <c r="G67" s="5">
        <v>11444676</v>
      </c>
      <c r="H67" s="5">
        <v>81990</v>
      </c>
      <c r="I67" s="5">
        <v>28230</v>
      </c>
      <c r="J67" s="5">
        <v>65361</v>
      </c>
      <c r="K67" s="5">
        <v>24905</v>
      </c>
      <c r="L67" s="5"/>
      <c r="M67" s="5"/>
      <c r="N67" s="5"/>
      <c r="O67" s="5"/>
      <c r="P67" s="41" t="s">
        <v>115</v>
      </c>
      <c r="Q67" s="41" t="s">
        <v>115</v>
      </c>
      <c r="R67" s="5">
        <v>3860440</v>
      </c>
      <c r="S67" s="5">
        <v>7262150</v>
      </c>
      <c r="T67" s="41" t="s">
        <v>115</v>
      </c>
      <c r="U67" s="41" t="s">
        <v>115</v>
      </c>
      <c r="V67" s="5">
        <v>2528465</v>
      </c>
      <c r="W67" s="5">
        <v>4182526</v>
      </c>
      <c r="X67" s="5"/>
      <c r="Y67" s="5"/>
      <c r="Z67" s="5"/>
      <c r="AA67" s="5"/>
      <c r="AB67" s="5">
        <v>4078634</v>
      </c>
      <c r="AC67" s="5">
        <v>4142525</v>
      </c>
      <c r="AD67" s="5">
        <v>5627256</v>
      </c>
      <c r="AE67" s="5">
        <v>12684419</v>
      </c>
      <c r="AF67" s="5">
        <v>472855</v>
      </c>
      <c r="AG67" s="5">
        <v>395374</v>
      </c>
      <c r="AH67" s="5">
        <v>327983</v>
      </c>
      <c r="AI67" s="5">
        <v>832882</v>
      </c>
      <c r="AJ67" s="39">
        <v>2000</v>
      </c>
      <c r="AK67" s="39">
        <f t="shared" si="1"/>
        <v>21</v>
      </c>
      <c r="AL67" s="39">
        <v>2</v>
      </c>
      <c r="AM67" s="39">
        <v>1</v>
      </c>
      <c r="AN67" s="39" t="s">
        <v>35</v>
      </c>
    </row>
    <row r="68" spans="1:40" s="15" customFormat="1" ht="75" x14ac:dyDescent="0.25">
      <c r="A68" s="11" t="s">
        <v>270</v>
      </c>
      <c r="B68" s="12" t="s">
        <v>269</v>
      </c>
      <c r="C68" s="20" t="s">
        <v>271</v>
      </c>
      <c r="D68" s="14">
        <f>1367145+33008</f>
        <v>1400153</v>
      </c>
      <c r="E68" s="14">
        <f>1347909+4811</f>
        <v>1352720</v>
      </c>
      <c r="F68" s="14">
        <f>1490854+5463</f>
        <v>1496317</v>
      </c>
      <c r="G68" s="14">
        <f>2144018+11759</f>
        <v>2155777</v>
      </c>
      <c r="H68" s="14">
        <v>23993</v>
      </c>
      <c r="I68" s="14">
        <v>0</v>
      </c>
      <c r="J68" s="14">
        <v>0</v>
      </c>
      <c r="K68" s="14">
        <v>0</v>
      </c>
      <c r="L68" s="14">
        <v>130536</v>
      </c>
      <c r="M68" s="14">
        <v>153373</v>
      </c>
      <c r="N68" s="14">
        <v>234484</v>
      </c>
      <c r="O68" s="14">
        <v>201104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>
        <v>604502</v>
      </c>
      <c r="AC68" s="14">
        <v>699374</v>
      </c>
      <c r="AD68" s="14">
        <v>738882</v>
      </c>
      <c r="AE68" s="14">
        <v>1693789</v>
      </c>
      <c r="AF68" s="14">
        <v>208612</v>
      </c>
      <c r="AG68" s="14">
        <v>197810</v>
      </c>
      <c r="AH68" s="14">
        <f>207417+1579</f>
        <v>208996</v>
      </c>
      <c r="AI68" s="14">
        <f>105887+1579</f>
        <v>107466</v>
      </c>
      <c r="AJ68" s="39">
        <v>1999</v>
      </c>
      <c r="AK68" s="39">
        <f t="shared" si="1"/>
        <v>22</v>
      </c>
      <c r="AL68" s="39">
        <v>3</v>
      </c>
      <c r="AM68" s="39">
        <v>1</v>
      </c>
      <c r="AN68" s="39" t="s">
        <v>5</v>
      </c>
    </row>
    <row r="69" spans="1:40" s="15" customFormat="1" ht="72.599999999999994" customHeight="1" x14ac:dyDescent="0.25">
      <c r="A69" s="11" t="s">
        <v>274</v>
      </c>
      <c r="B69" s="12" t="s">
        <v>272</v>
      </c>
      <c r="C69" s="20" t="s">
        <v>275</v>
      </c>
      <c r="D69" s="14">
        <f>25921151+64744+3</f>
        <v>25985898</v>
      </c>
      <c r="E69" s="14">
        <f>27008852+111114+77764</f>
        <v>27197730</v>
      </c>
      <c r="F69" s="14">
        <f>5257258+8153609</f>
        <v>13410867</v>
      </c>
      <c r="G69" s="14">
        <f>10464409</f>
        <v>10464409</v>
      </c>
      <c r="H69" s="14">
        <v>0</v>
      </c>
      <c r="I69" s="14">
        <v>0</v>
      </c>
      <c r="J69" s="14">
        <v>0</v>
      </c>
      <c r="K69" s="14">
        <v>0</v>
      </c>
      <c r="L69" s="14">
        <v>94830</v>
      </c>
      <c r="M69" s="14">
        <v>81030</v>
      </c>
      <c r="N69" s="14">
        <v>125610</v>
      </c>
      <c r="O69" s="41" t="s">
        <v>115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>
        <v>1786997</v>
      </c>
      <c r="AC69" s="14">
        <v>2500456</v>
      </c>
      <c r="AD69" s="14">
        <v>3932460</v>
      </c>
      <c r="AE69" s="14">
        <v>7484776</v>
      </c>
      <c r="AF69" s="14">
        <f>119472+350</f>
        <v>119822</v>
      </c>
      <c r="AG69" s="14">
        <f>98619+350</f>
        <v>98969</v>
      </c>
      <c r="AH69" s="14">
        <f>102091+350</f>
        <v>102441</v>
      </c>
      <c r="AI69" s="14">
        <v>107496</v>
      </c>
      <c r="AJ69" s="39">
        <v>1992</v>
      </c>
      <c r="AK69" s="39">
        <f t="shared" si="1"/>
        <v>29</v>
      </c>
      <c r="AL69" s="39">
        <v>6</v>
      </c>
      <c r="AM69" s="39">
        <v>1</v>
      </c>
      <c r="AN69" s="39" t="s">
        <v>273</v>
      </c>
    </row>
    <row r="70" spans="1:40" ht="60" x14ac:dyDescent="0.25">
      <c r="A70" s="4" t="s">
        <v>281</v>
      </c>
      <c r="B70" s="17" t="s">
        <v>279</v>
      </c>
      <c r="C70" s="20" t="s">
        <v>280</v>
      </c>
      <c r="D70" s="5">
        <f>21248671.21+8423232.8+2559.07+136056.45</f>
        <v>29810519.530000001</v>
      </c>
      <c r="E70" s="5">
        <f>20918822.33+9691801.95+555947.46+96311.63</f>
        <v>31262883.369999997</v>
      </c>
      <c r="F70" s="5">
        <f>23714267.53+9691801.95+1694326.84+77001.84</f>
        <v>35177398.160000004</v>
      </c>
      <c r="G70" s="5">
        <f>26926398.13+12061764.9+704464.12+20695.99</f>
        <v>39713323.140000001</v>
      </c>
      <c r="H70" s="5">
        <f>42002.04-130579.92+16188.98-0+2559.07-2576.4+107675.11-2260.59</f>
        <v>33008.290000000008</v>
      </c>
      <c r="I70" s="5">
        <v>0</v>
      </c>
      <c r="J70" s="5">
        <f>36188.24-0-52997.51+30563.71-2250.84+23906.64-1060.85+37256.17-4619.42</f>
        <v>66986.14</v>
      </c>
      <c r="K70" s="5">
        <f>52173.48-2814.98-28628.19+40422.15-3173.21+8767.75-1154.2+15895.95-2540.01</f>
        <v>78948.740000000005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>
        <f>19707596.21+15434496.2+400786.76+887215.97</f>
        <v>36430095.139999993</v>
      </c>
      <c r="AC70" s="5">
        <f>21590232.1+17027041.12+746379.25+899621.74</f>
        <v>40263274.210000001</v>
      </c>
      <c r="AD70" s="5">
        <f>23641045.22+18810384.02+1603259.61+907674.69</f>
        <v>44962363.539999992</v>
      </c>
      <c r="AE70" s="5">
        <f>31465719.35+20923943.05+1576606.81+873424.97</f>
        <v>54839694.180000007</v>
      </c>
      <c r="AF70" s="5">
        <f>7029590.28+10396849.2+358165.98+0</f>
        <v>17784605.460000001</v>
      </c>
      <c r="AG70" s="5">
        <f>7271720.46+10905738.34+371397.98+0</f>
        <v>18548856.780000001</v>
      </c>
      <c r="AH70" s="5">
        <f>7202348.75+10768820.54+447855.76+0</f>
        <v>18419025.050000001</v>
      </c>
      <c r="AI70" s="5">
        <f>8097745.54+10915364.67+438935.71+0</f>
        <v>19452045.920000002</v>
      </c>
      <c r="AJ70" s="39">
        <v>1976</v>
      </c>
      <c r="AK70" s="39">
        <f t="shared" si="1"/>
        <v>45</v>
      </c>
      <c r="AL70" s="39">
        <v>1</v>
      </c>
      <c r="AM70" s="39">
        <v>1</v>
      </c>
      <c r="AN70" s="39" t="s">
        <v>17</v>
      </c>
    </row>
    <row r="71" spans="1:40" s="22" customFormat="1" ht="45" x14ac:dyDescent="0.25">
      <c r="A71" s="18" t="s">
        <v>286</v>
      </c>
      <c r="B71" s="19" t="s">
        <v>285</v>
      </c>
      <c r="C71" s="20" t="s">
        <v>287</v>
      </c>
      <c r="D71" s="21">
        <v>4338475.53</v>
      </c>
      <c r="E71" s="21">
        <v>6412942.1399999997</v>
      </c>
      <c r="F71" s="21">
        <v>8582937.4299999997</v>
      </c>
      <c r="G71" s="41" t="s">
        <v>115</v>
      </c>
      <c r="H71" s="21">
        <f>367226.05-16142.75</f>
        <v>351083.3</v>
      </c>
      <c r="I71" s="21">
        <f>270734.37-26043.41</f>
        <v>244690.96</v>
      </c>
      <c r="J71" s="21">
        <f>325011.96-10935.56</f>
        <v>314076.40000000002</v>
      </c>
      <c r="K71" s="41" t="s">
        <v>115</v>
      </c>
      <c r="L71" s="21">
        <v>34488.080000000002</v>
      </c>
      <c r="M71" s="21">
        <v>35323.800000000003</v>
      </c>
      <c r="N71" s="21">
        <v>41796.589999999997</v>
      </c>
      <c r="O71" s="41" t="s">
        <v>115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>
        <v>5673694.1100000003</v>
      </c>
      <c r="AC71" s="21">
        <v>5954915.7699999996</v>
      </c>
      <c r="AD71" s="21">
        <v>13714240.77</v>
      </c>
      <c r="AE71" s="41" t="s">
        <v>115</v>
      </c>
      <c r="AF71" s="21">
        <v>6782.14</v>
      </c>
      <c r="AG71" s="21">
        <v>3675.94</v>
      </c>
      <c r="AH71" s="21">
        <v>3604.6</v>
      </c>
      <c r="AI71" s="41" t="s">
        <v>115</v>
      </c>
      <c r="AJ71" s="39">
        <v>2001</v>
      </c>
      <c r="AK71" s="39">
        <f t="shared" si="1"/>
        <v>20</v>
      </c>
      <c r="AL71" s="39">
        <v>5</v>
      </c>
      <c r="AM71" s="39">
        <v>1</v>
      </c>
      <c r="AN71" s="39" t="s">
        <v>35</v>
      </c>
    </row>
    <row r="72" spans="1:40" ht="75" x14ac:dyDescent="0.25">
      <c r="A72" s="4" t="s">
        <v>289</v>
      </c>
      <c r="B72" s="17" t="s">
        <v>288</v>
      </c>
      <c r="C72" s="8" t="s">
        <v>290</v>
      </c>
      <c r="D72" s="5">
        <f>7999146</f>
        <v>7999146</v>
      </c>
      <c r="E72" s="5">
        <f>9178877+81928</f>
        <v>9260805</v>
      </c>
      <c r="F72" s="5">
        <f>8171288.96</f>
        <v>8171288.96</v>
      </c>
      <c r="G72" s="5">
        <v>8514181.2400000002</v>
      </c>
      <c r="H72" s="5">
        <v>0</v>
      </c>
      <c r="I72" s="5">
        <v>81928</v>
      </c>
      <c r="J72" s="5">
        <f>205733.06-20698.16</f>
        <v>185034.9</v>
      </c>
      <c r="K72" s="5">
        <f>29447.51-19359.63</f>
        <v>10087.879999999997</v>
      </c>
      <c r="L72" s="5">
        <v>260705</v>
      </c>
      <c r="M72" s="5">
        <v>300465</v>
      </c>
      <c r="N72" s="5" t="s">
        <v>115</v>
      </c>
      <c r="O72" s="41" t="s">
        <v>115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>
        <v>3828137</v>
      </c>
      <c r="AC72" s="5">
        <v>5599328</v>
      </c>
      <c r="AD72" s="5">
        <v>3816722.45</v>
      </c>
      <c r="AE72" s="5">
        <v>4633519.68</v>
      </c>
      <c r="AF72" s="5">
        <v>553594</v>
      </c>
      <c r="AG72" s="5">
        <v>472041</v>
      </c>
      <c r="AH72" s="5">
        <v>351671.01</v>
      </c>
      <c r="AI72" s="5">
        <v>431857.03</v>
      </c>
      <c r="AJ72" s="39">
        <v>2002</v>
      </c>
      <c r="AK72" s="39">
        <f t="shared" si="1"/>
        <v>19</v>
      </c>
      <c r="AL72" s="39">
        <v>3</v>
      </c>
      <c r="AM72" s="39">
        <v>1</v>
      </c>
      <c r="AN72" s="39" t="s">
        <v>5</v>
      </c>
    </row>
    <row r="73" spans="1:40" ht="45" x14ac:dyDescent="0.25">
      <c r="A73" s="4" t="s">
        <v>295</v>
      </c>
      <c r="B73" s="17" t="s">
        <v>294</v>
      </c>
      <c r="C73" s="8" t="s">
        <v>296</v>
      </c>
      <c r="D73" s="5">
        <f>18431929.71</f>
        <v>18431929.710000001</v>
      </c>
      <c r="E73" s="5">
        <v>19205708.149999999</v>
      </c>
      <c r="F73" s="5">
        <v>27337875.350000001</v>
      </c>
      <c r="G73" s="5">
        <v>21102528.09</v>
      </c>
      <c r="H73" s="5">
        <f>58754.22-45904.56</f>
        <v>12849.660000000003</v>
      </c>
      <c r="I73" s="5">
        <f>77574.23-20419.75</f>
        <v>57154.479999999996</v>
      </c>
      <c r="J73" s="5">
        <f>50027.96-44490.02</f>
        <v>5537.9400000000023</v>
      </c>
      <c r="K73" s="5">
        <v>0</v>
      </c>
      <c r="L73" s="5">
        <v>261871.28</v>
      </c>
      <c r="M73" s="5">
        <v>296830.99</v>
      </c>
      <c r="N73" s="5">
        <v>341797.96</v>
      </c>
      <c r="O73" s="5">
        <v>79430.36</v>
      </c>
      <c r="P73" s="5">
        <f>2540129.55+5103621.63+896458.49</f>
        <v>8540209.6699999999</v>
      </c>
      <c r="Q73" s="5">
        <f>2715818.49+5191601.66+770407.02</f>
        <v>8677827.1699999999</v>
      </c>
      <c r="R73" s="5">
        <f>2614330.24+5218852.54+8473647.36</f>
        <v>16306830.140000001</v>
      </c>
      <c r="S73" s="5">
        <f>2541939.97+3639469.34+3919183.26</f>
        <v>10100592.57</v>
      </c>
      <c r="T73" s="5">
        <f>67860.31+884.8+6869820.57+2953154.36</f>
        <v>9891720.040000001</v>
      </c>
      <c r="U73" s="5">
        <f>102055.39+13932.19+7155224.29+3256669.11</f>
        <v>10527880.98</v>
      </c>
      <c r="V73" s="5">
        <f>16981.48+121388.36+7415420.01+3477255.36</f>
        <v>11031045.209999999</v>
      </c>
      <c r="W73" s="5">
        <f>9380.38+7829400.17+3163154.97</f>
        <v>11001935.52</v>
      </c>
      <c r="X73" s="5"/>
      <c r="Y73" s="5"/>
      <c r="Z73" s="5"/>
      <c r="AA73" s="5"/>
      <c r="AB73" s="5">
        <v>7490552.79</v>
      </c>
      <c r="AC73" s="5">
        <v>7293189.3899999997</v>
      </c>
      <c r="AD73" s="5">
        <v>15189063.65</v>
      </c>
      <c r="AE73" s="5">
        <v>16349481.6</v>
      </c>
      <c r="AF73" s="5">
        <v>2605684.9300000002</v>
      </c>
      <c r="AG73" s="5">
        <v>2801128.92</v>
      </c>
      <c r="AH73" s="5">
        <v>10282276.59</v>
      </c>
      <c r="AI73" s="5">
        <v>10034342.380000001</v>
      </c>
      <c r="AJ73" s="39">
        <v>1969</v>
      </c>
      <c r="AK73" s="39">
        <f t="shared" si="1"/>
        <v>52</v>
      </c>
      <c r="AL73" s="39">
        <v>3</v>
      </c>
      <c r="AM73" s="39">
        <v>1</v>
      </c>
      <c r="AN73" s="39" t="s">
        <v>297</v>
      </c>
    </row>
    <row r="74" spans="1:40" ht="60" x14ac:dyDescent="0.25">
      <c r="A74" s="4" t="s">
        <v>300</v>
      </c>
      <c r="B74" s="17" t="s">
        <v>298</v>
      </c>
      <c r="C74" s="8" t="s">
        <v>299</v>
      </c>
      <c r="D74" s="5">
        <f>23241076+7356472+966657</f>
        <v>31564205</v>
      </c>
      <c r="E74" s="5">
        <f>32179719+11113476+432052</f>
        <v>43725247</v>
      </c>
      <c r="F74" s="5">
        <f>38641510+17628490+529314</f>
        <v>56799314</v>
      </c>
      <c r="G74" s="5">
        <f>61279632+15668641+361206</f>
        <v>77309479</v>
      </c>
      <c r="H74" s="5">
        <f>966657-227770</f>
        <v>738887</v>
      </c>
      <c r="I74" s="5">
        <f>432052-215630</f>
        <v>216422</v>
      </c>
      <c r="J74" s="5">
        <f>529314-242899</f>
        <v>286415</v>
      </c>
      <c r="K74" s="5">
        <f>361206-340156</f>
        <v>21050</v>
      </c>
      <c r="L74" s="5">
        <v>1856190</v>
      </c>
      <c r="M74" s="5">
        <v>2183105</v>
      </c>
      <c r="N74" s="5">
        <v>2230268</v>
      </c>
      <c r="O74" s="5">
        <v>1469136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v>25346265</v>
      </c>
      <c r="AC74" s="5">
        <v>30527527</v>
      </c>
      <c r="AD74" s="5">
        <v>35383020</v>
      </c>
      <c r="AE74" s="5">
        <v>57622196</v>
      </c>
      <c r="AF74" s="5">
        <f>10496340+20660</f>
        <v>10517000</v>
      </c>
      <c r="AG74" s="5">
        <f>12018824+20660</f>
        <v>12039484</v>
      </c>
      <c r="AH74" s="5">
        <v>14205566</v>
      </c>
      <c r="AI74" s="5">
        <v>31682258</v>
      </c>
      <c r="AJ74" s="39">
        <v>2002</v>
      </c>
      <c r="AK74" s="39">
        <f t="shared" si="1"/>
        <v>19</v>
      </c>
      <c r="AL74" s="39">
        <v>1</v>
      </c>
      <c r="AM74" s="39">
        <v>1</v>
      </c>
      <c r="AN74" s="39" t="s">
        <v>5</v>
      </c>
    </row>
    <row r="75" spans="1:40" ht="45" x14ac:dyDescent="0.25">
      <c r="A75" s="4" t="s">
        <v>304</v>
      </c>
      <c r="B75" s="17" t="s">
        <v>303</v>
      </c>
      <c r="C75" s="8" t="s">
        <v>256</v>
      </c>
      <c r="D75" s="5">
        <f>49662161+106166</f>
        <v>49768327</v>
      </c>
      <c r="E75" s="5">
        <f>54094280+385998</f>
        <v>54480278</v>
      </c>
      <c r="F75" s="5">
        <f>56572256+509952</f>
        <v>57082208</v>
      </c>
      <c r="G75" s="5">
        <f>66960148+280822</f>
        <v>67240970</v>
      </c>
      <c r="H75" s="5">
        <v>0</v>
      </c>
      <c r="I75" s="5">
        <v>0</v>
      </c>
      <c r="J75" s="5">
        <v>0</v>
      </c>
      <c r="K75" s="5">
        <v>0</v>
      </c>
      <c r="L75" s="5">
        <v>205448</v>
      </c>
      <c r="M75" s="5">
        <v>501067</v>
      </c>
      <c r="N75" s="5">
        <v>692600</v>
      </c>
      <c r="O75" s="5">
        <v>721897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>
        <v>25403659</v>
      </c>
      <c r="AC75" s="5">
        <v>31479549</v>
      </c>
      <c r="AD75" s="5">
        <v>34644898</v>
      </c>
      <c r="AE75" s="5">
        <v>35952386</v>
      </c>
      <c r="AF75" s="5">
        <f>2006850+15262570+33434</f>
        <v>17302854</v>
      </c>
      <c r="AG75" s="5">
        <f>1944453+14821501+64861</f>
        <v>16830815</v>
      </c>
      <c r="AH75" s="5">
        <f>1885123+16429624+41878</f>
        <v>18356625</v>
      </c>
      <c r="AI75" s="5">
        <f>1825789+16163963+18895</f>
        <v>18008647</v>
      </c>
      <c r="AJ75" s="39">
        <v>1967</v>
      </c>
      <c r="AK75" s="39">
        <f t="shared" si="1"/>
        <v>54</v>
      </c>
      <c r="AL75" s="39">
        <v>1</v>
      </c>
      <c r="AM75" s="39">
        <v>1</v>
      </c>
      <c r="AN75" s="39" t="s">
        <v>5</v>
      </c>
    </row>
    <row r="76" spans="1:40" ht="90" x14ac:dyDescent="0.25">
      <c r="A76" s="4" t="s">
        <v>308</v>
      </c>
      <c r="B76" s="17" t="s">
        <v>307</v>
      </c>
      <c r="C76" s="8" t="s">
        <v>309</v>
      </c>
      <c r="D76" s="5">
        <f>1104515.88+18436.14</f>
        <v>1122952.0199999998</v>
      </c>
      <c r="E76" s="5">
        <f>1605962.72+225.45</f>
        <v>1606188.17</v>
      </c>
      <c r="F76" s="5">
        <f>1373081.9+47966.68</f>
        <v>1421048.5799999998</v>
      </c>
      <c r="G76" s="5">
        <f>2332463.79+34262.94</f>
        <v>2366726.73</v>
      </c>
      <c r="H76" s="5">
        <f>17126.51-3189.69</f>
        <v>13936.819999999998</v>
      </c>
      <c r="I76" s="5">
        <v>0</v>
      </c>
      <c r="J76" s="5">
        <v>41800.65</v>
      </c>
      <c r="K76" s="5">
        <f>34262.94-16848.94</f>
        <v>17414.000000000004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>
        <v>359529.66</v>
      </c>
      <c r="AC76" s="5">
        <v>837793.75</v>
      </c>
      <c r="AD76" s="5">
        <v>986418.53</v>
      </c>
      <c r="AE76" s="41" t="s">
        <v>115</v>
      </c>
      <c r="AF76" s="5">
        <v>13571.69</v>
      </c>
      <c r="AG76" s="5">
        <v>16779.21</v>
      </c>
      <c r="AH76" s="5">
        <v>31623.72</v>
      </c>
      <c r="AI76" s="41" t="s">
        <v>115</v>
      </c>
      <c r="AJ76" s="39">
        <v>2010</v>
      </c>
      <c r="AK76" s="39">
        <f t="shared" si="1"/>
        <v>11</v>
      </c>
      <c r="AL76" s="39">
        <v>1</v>
      </c>
      <c r="AM76" s="39">
        <v>1</v>
      </c>
      <c r="AN76" s="39" t="s">
        <v>51</v>
      </c>
    </row>
    <row r="77" spans="1:40" ht="45" x14ac:dyDescent="0.25">
      <c r="A77" s="4" t="s">
        <v>311</v>
      </c>
      <c r="B77" s="17" t="s">
        <v>310</v>
      </c>
      <c r="C77" s="8" t="s">
        <v>256</v>
      </c>
      <c r="D77" s="5">
        <f>15406000+230000</f>
        <v>15636000</v>
      </c>
      <c r="E77" s="5">
        <f>16140000+174000</f>
        <v>16314000</v>
      </c>
      <c r="F77" s="5">
        <f>19325000+257000</f>
        <v>19582000</v>
      </c>
      <c r="G77" s="5">
        <f>15315000+143000</f>
        <v>15458000</v>
      </c>
      <c r="H77" s="5">
        <v>111000</v>
      </c>
      <c r="I77" s="5">
        <v>76000</v>
      </c>
      <c r="J77" s="5">
        <v>152000</v>
      </c>
      <c r="K77" s="5">
        <v>31000</v>
      </c>
      <c r="L77" s="5">
        <v>526000</v>
      </c>
      <c r="M77" s="5">
        <v>444000</v>
      </c>
      <c r="N77" s="5">
        <v>398000</v>
      </c>
      <c r="O77" s="5">
        <v>302000</v>
      </c>
      <c r="P77" s="5">
        <v>4776000</v>
      </c>
      <c r="Q77" s="5">
        <v>2937000</v>
      </c>
      <c r="R77" s="5">
        <v>3939000</v>
      </c>
      <c r="S77" s="5">
        <v>2793000</v>
      </c>
      <c r="T77" s="5">
        <v>10630000</v>
      </c>
      <c r="U77" s="5">
        <v>13203000</v>
      </c>
      <c r="V77" s="5">
        <v>15386000</v>
      </c>
      <c r="W77" s="5">
        <v>12522000</v>
      </c>
      <c r="X77" s="5"/>
      <c r="Y77" s="5"/>
      <c r="Z77" s="5"/>
      <c r="AA77" s="5"/>
      <c r="AB77" s="5">
        <v>12708000</v>
      </c>
      <c r="AC77" s="5">
        <v>12483000</v>
      </c>
      <c r="AD77" s="5">
        <v>13649000</v>
      </c>
      <c r="AE77" s="5">
        <v>12487000</v>
      </c>
      <c r="AF77" s="5">
        <f>1994000+57000</f>
        <v>2051000</v>
      </c>
      <c r="AG77" s="5">
        <f>1923000+60000</f>
        <v>1983000</v>
      </c>
      <c r="AH77" s="5">
        <f>1941000+54000</f>
        <v>1995000</v>
      </c>
      <c r="AI77" s="5">
        <f>1894000+35000</f>
        <v>1929000</v>
      </c>
      <c r="AJ77" s="39">
        <v>1967</v>
      </c>
      <c r="AK77" s="39">
        <f t="shared" si="1"/>
        <v>54</v>
      </c>
      <c r="AL77" s="39">
        <v>1</v>
      </c>
      <c r="AM77" s="39">
        <v>1</v>
      </c>
      <c r="AN77" s="39" t="s">
        <v>5</v>
      </c>
    </row>
    <row r="78" spans="1:40" ht="60" x14ac:dyDescent="0.25">
      <c r="A78" s="4" t="s">
        <v>313</v>
      </c>
      <c r="B78" s="17" t="s">
        <v>312</v>
      </c>
      <c r="C78" s="8" t="s">
        <v>314</v>
      </c>
      <c r="D78" s="5">
        <f>7595104+403.16+227835.57+1189829.01+2254864.4</f>
        <v>11268036.140000001</v>
      </c>
      <c r="E78" s="5">
        <f>7852940.07+9345.1+8175.04+2209796.57+111234.02+538997.66</f>
        <v>10730488.459999999</v>
      </c>
      <c r="F78" s="5">
        <f>7739835.99+44591.73+10059.72+121844.3+169987.75+1393170.3</f>
        <v>9479489.790000001</v>
      </c>
      <c r="G78" s="5">
        <f>7552074.31+16199.93+65499.19+134802.14+1021002.17</f>
        <v>8789577.7400000002</v>
      </c>
      <c r="H78" s="5">
        <f>104482.81</f>
        <v>104482.81</v>
      </c>
      <c r="I78" s="5">
        <v>0</v>
      </c>
      <c r="J78" s="5">
        <v>13661.58</v>
      </c>
      <c r="K78" s="5">
        <v>0</v>
      </c>
      <c r="L78" s="41" t="s">
        <v>115</v>
      </c>
      <c r="M78" s="41" t="s">
        <v>115</v>
      </c>
      <c r="N78" s="5">
        <v>169987.75</v>
      </c>
      <c r="O78" s="5">
        <v>134802.14000000001</v>
      </c>
      <c r="P78" s="5">
        <v>1189829.01</v>
      </c>
      <c r="Q78" s="5">
        <v>538997.66</v>
      </c>
      <c r="R78" s="5">
        <v>1393170.3</v>
      </c>
      <c r="S78" s="5">
        <v>1021002.017</v>
      </c>
      <c r="T78" s="5">
        <f>D78-P78</f>
        <v>10078207.130000001</v>
      </c>
      <c r="U78" s="5">
        <f>E78-Q78</f>
        <v>10191490.799999999</v>
      </c>
      <c r="V78" s="5">
        <f>F78-R78</f>
        <v>8086319.4900000012</v>
      </c>
      <c r="W78" s="5">
        <f>G78-S78</f>
        <v>7768575.7230000002</v>
      </c>
      <c r="X78" s="5"/>
      <c r="Y78" s="5"/>
      <c r="Z78" s="5"/>
      <c r="AA78" s="5"/>
      <c r="AB78" s="5">
        <v>18162175.73</v>
      </c>
      <c r="AC78" s="5">
        <v>15166409.109999999</v>
      </c>
      <c r="AD78" s="5">
        <v>14489203.189999999</v>
      </c>
      <c r="AE78" s="5">
        <v>14085296.76</v>
      </c>
      <c r="AF78" s="5">
        <v>9745177.9499999993</v>
      </c>
      <c r="AG78" s="5">
        <v>9883930.6300000008</v>
      </c>
      <c r="AH78" s="5">
        <v>9248181.6400000006</v>
      </c>
      <c r="AI78" s="5">
        <v>8815065.3000000007</v>
      </c>
      <c r="AJ78" s="39">
        <v>1986</v>
      </c>
      <c r="AK78" s="39">
        <f t="shared" si="1"/>
        <v>35</v>
      </c>
      <c r="AL78" s="39">
        <v>3</v>
      </c>
      <c r="AM78" s="39">
        <v>1</v>
      </c>
      <c r="AN78" s="39" t="s">
        <v>192</v>
      </c>
    </row>
    <row r="79" spans="1:40" ht="60" x14ac:dyDescent="0.25">
      <c r="A79" s="4" t="s">
        <v>316</v>
      </c>
      <c r="B79" s="17" t="s">
        <v>315</v>
      </c>
      <c r="C79" s="8" t="s">
        <v>317</v>
      </c>
      <c r="D79" s="5">
        <f>2774994</f>
        <v>2774994</v>
      </c>
      <c r="E79" s="5">
        <v>3076184</v>
      </c>
      <c r="F79" s="5">
        <f>3634734+22182</f>
        <v>3656916</v>
      </c>
      <c r="G79" s="5">
        <f>4008178+10141</f>
        <v>4018319</v>
      </c>
      <c r="H79" s="5">
        <f>34059-15228</f>
        <v>18831</v>
      </c>
      <c r="I79" s="5">
        <f>12264-8201</f>
        <v>4063</v>
      </c>
      <c r="J79" s="5">
        <v>7118</v>
      </c>
      <c r="K79" s="5">
        <v>379</v>
      </c>
      <c r="L79" s="5">
        <v>153000</v>
      </c>
      <c r="M79" s="5">
        <v>657140</v>
      </c>
      <c r="N79" s="5">
        <v>785134</v>
      </c>
      <c r="O79" s="5">
        <v>944368</v>
      </c>
      <c r="P79" s="5">
        <v>1752486</v>
      </c>
      <c r="Q79" s="5">
        <v>1695193</v>
      </c>
      <c r="R79" s="5">
        <v>1723205</v>
      </c>
      <c r="S79" s="5">
        <v>1865855</v>
      </c>
      <c r="T79" s="5">
        <v>1022508</v>
      </c>
      <c r="U79" s="5">
        <v>1380991</v>
      </c>
      <c r="V79" s="5">
        <v>1911529</v>
      </c>
      <c r="W79" s="5">
        <v>2142323</v>
      </c>
      <c r="X79" s="5"/>
      <c r="Y79" s="5"/>
      <c r="Z79" s="5"/>
      <c r="AA79" s="5"/>
      <c r="AB79" s="5">
        <v>667876</v>
      </c>
      <c r="AC79" s="5">
        <v>422936</v>
      </c>
      <c r="AD79" s="5">
        <v>822306</v>
      </c>
      <c r="AE79" s="5">
        <v>1091133</v>
      </c>
      <c r="AF79" s="5">
        <v>151958</v>
      </c>
      <c r="AG79" s="5">
        <v>117217</v>
      </c>
      <c r="AH79" s="5">
        <f>91926+3019</f>
        <v>94945</v>
      </c>
      <c r="AI79" s="5">
        <f>33574</f>
        <v>33574</v>
      </c>
      <c r="AJ79" s="39">
        <v>2000</v>
      </c>
      <c r="AK79" s="39">
        <f t="shared" si="1"/>
        <v>21</v>
      </c>
      <c r="AL79" s="39">
        <v>1</v>
      </c>
      <c r="AM79" s="39">
        <v>1</v>
      </c>
      <c r="AN79" s="39" t="s">
        <v>5</v>
      </c>
    </row>
    <row r="80" spans="1:40" x14ac:dyDescent="0.25">
      <c r="A80" s="4"/>
      <c r="B80" s="4"/>
      <c r="C80" s="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39"/>
      <c r="AK80" s="39"/>
      <c r="AL80" s="39"/>
      <c r="AM80" s="39"/>
      <c r="AN80" s="39"/>
    </row>
    <row r="81" spans="1:40" x14ac:dyDescent="0.25">
      <c r="A81" s="4"/>
      <c r="B81" s="4"/>
      <c r="C81" s="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39"/>
      <c r="AK81" s="39"/>
      <c r="AL81" s="39"/>
      <c r="AM81" s="39"/>
      <c r="AN81" s="39"/>
    </row>
    <row r="82" spans="1:40" x14ac:dyDescent="0.25">
      <c r="A82" s="4"/>
      <c r="B82" s="4"/>
      <c r="C82" s="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39"/>
      <c r="AK82" s="39"/>
      <c r="AL82" s="39"/>
      <c r="AM82" s="39"/>
      <c r="AN82" s="39"/>
    </row>
    <row r="83" spans="1:40" x14ac:dyDescent="0.25">
      <c r="A83" s="4"/>
      <c r="B83" s="4"/>
      <c r="C83" s="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39"/>
      <c r="AK83" s="39"/>
      <c r="AL83" s="39"/>
      <c r="AM83" s="39"/>
      <c r="AN83" s="39"/>
    </row>
    <row r="84" spans="1:40" x14ac:dyDescent="0.25">
      <c r="A84" s="4"/>
      <c r="B84" s="4"/>
      <c r="C84" s="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39"/>
      <c r="AK84" s="39"/>
      <c r="AL84" s="39"/>
      <c r="AM84" s="39"/>
      <c r="AN84" s="39"/>
    </row>
    <row r="85" spans="1:40" x14ac:dyDescent="0.25">
      <c r="A85" s="4"/>
      <c r="B85" s="4"/>
      <c r="C85" s="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39"/>
      <c r="AK85" s="39"/>
      <c r="AL85" s="39"/>
      <c r="AM85" s="39"/>
      <c r="AN85" s="39"/>
    </row>
    <row r="86" spans="1:40" x14ac:dyDescent="0.25">
      <c r="A86" s="4"/>
      <c r="B86" s="4"/>
      <c r="C86" s="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39"/>
      <c r="AK86" s="39"/>
      <c r="AL86" s="39"/>
      <c r="AM86" s="39"/>
      <c r="AN86" s="39"/>
    </row>
    <row r="87" spans="1:40" x14ac:dyDescent="0.25">
      <c r="A87" s="4"/>
      <c r="B87" s="4"/>
      <c r="C87" s="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39"/>
      <c r="AK87" s="39"/>
      <c r="AL87" s="39"/>
      <c r="AM87" s="39"/>
      <c r="AN87" s="39"/>
    </row>
    <row r="88" spans="1:40" x14ac:dyDescent="0.25">
      <c r="A88" s="4"/>
      <c r="B88" s="4"/>
      <c r="C88" s="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39"/>
      <c r="AK88" s="39"/>
      <c r="AL88" s="39"/>
      <c r="AM88" s="39"/>
      <c r="AN88" s="39"/>
    </row>
    <row r="89" spans="1:40" x14ac:dyDescent="0.25">
      <c r="A89" s="4"/>
      <c r="B89" s="4"/>
      <c r="C89" s="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39"/>
      <c r="AK89" s="39"/>
      <c r="AL89" s="39"/>
      <c r="AM89" s="39"/>
      <c r="AN89" s="39"/>
    </row>
    <row r="90" spans="1:40" x14ac:dyDescent="0.25">
      <c r="A90" s="4"/>
      <c r="B90" s="4"/>
      <c r="C90" s="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39"/>
      <c r="AK90" s="39"/>
      <c r="AL90" s="39"/>
      <c r="AM90" s="39"/>
      <c r="AN90" s="39"/>
    </row>
    <row r="91" spans="1:40" x14ac:dyDescent="0.25">
      <c r="A91" s="4"/>
      <c r="B91" s="4"/>
      <c r="C91" s="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39"/>
      <c r="AK91" s="39"/>
      <c r="AL91" s="39"/>
      <c r="AM91" s="39"/>
      <c r="AN91" s="39"/>
    </row>
    <row r="92" spans="1:40" x14ac:dyDescent="0.25">
      <c r="A92" s="4"/>
      <c r="B92" s="4"/>
      <c r="C92" s="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39"/>
      <c r="AK92" s="39"/>
      <c r="AL92" s="39"/>
      <c r="AM92" s="39"/>
      <c r="AN92" s="39"/>
    </row>
    <row r="93" spans="1:40" x14ac:dyDescent="0.25">
      <c r="A93" s="4"/>
      <c r="B93" s="4"/>
      <c r="C93" s="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39"/>
      <c r="AK93" s="39"/>
      <c r="AL93" s="39"/>
      <c r="AM93" s="39"/>
      <c r="AN93" s="39"/>
    </row>
    <row r="94" spans="1:40" x14ac:dyDescent="0.25">
      <c r="A94" s="4"/>
      <c r="B94" s="4"/>
      <c r="C94" s="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39"/>
      <c r="AK94" s="39"/>
      <c r="AL94" s="39"/>
      <c r="AM94" s="39"/>
      <c r="AN94" s="39"/>
    </row>
    <row r="95" spans="1:40" x14ac:dyDescent="0.25">
      <c r="A95" s="4"/>
      <c r="B95" s="4"/>
      <c r="C95" s="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39"/>
      <c r="AK95" s="39"/>
      <c r="AL95" s="39"/>
      <c r="AM95" s="39"/>
      <c r="AN95" s="39"/>
    </row>
    <row r="96" spans="1:40" x14ac:dyDescent="0.25">
      <c r="A96" s="4"/>
      <c r="B96" s="4"/>
      <c r="C96" s="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39"/>
      <c r="AK96" s="39"/>
      <c r="AL96" s="39"/>
      <c r="AM96" s="39"/>
      <c r="AN96" s="39"/>
    </row>
    <row r="97" spans="1:40" x14ac:dyDescent="0.25">
      <c r="A97" s="4"/>
      <c r="B97" s="4"/>
      <c r="C97" s="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39"/>
      <c r="AK97" s="39"/>
      <c r="AL97" s="39"/>
      <c r="AM97" s="39"/>
      <c r="AN97" s="39"/>
    </row>
    <row r="98" spans="1:40" x14ac:dyDescent="0.25">
      <c r="A98" s="4"/>
      <c r="B98" s="4"/>
      <c r="C98" s="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39"/>
      <c r="AK98" s="39"/>
      <c r="AL98" s="39"/>
      <c r="AM98" s="39"/>
      <c r="AN98" s="39"/>
    </row>
    <row r="99" spans="1:40" x14ac:dyDescent="0.25">
      <c r="A99" s="4"/>
      <c r="B99" s="4"/>
      <c r="C99" s="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39"/>
      <c r="AK99" s="39"/>
      <c r="AL99" s="39"/>
      <c r="AM99" s="39"/>
      <c r="AN99" s="39"/>
    </row>
    <row r="100" spans="1:40" x14ac:dyDescent="0.25">
      <c r="A100" s="4"/>
      <c r="B100" s="4"/>
      <c r="C100" s="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39"/>
      <c r="AK100" s="39"/>
      <c r="AL100" s="39"/>
      <c r="AM100" s="39"/>
      <c r="AN100" s="39"/>
    </row>
    <row r="101" spans="1:40" x14ac:dyDescent="0.25">
      <c r="A101" s="4"/>
      <c r="B101" s="4"/>
      <c r="C101" s="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39"/>
      <c r="AK101" s="39"/>
      <c r="AL101" s="39"/>
      <c r="AM101" s="39"/>
      <c r="AN101" s="39"/>
    </row>
    <row r="102" spans="1:40" x14ac:dyDescent="0.25">
      <c r="A102" s="4"/>
      <c r="B102" s="4"/>
      <c r="C102" s="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39"/>
      <c r="AK102" s="39"/>
      <c r="AL102" s="39"/>
      <c r="AM102" s="39"/>
      <c r="AN102" s="39"/>
    </row>
    <row r="103" spans="1:40" x14ac:dyDescent="0.25">
      <c r="A103" s="4"/>
      <c r="B103" s="4"/>
      <c r="C103" s="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39"/>
      <c r="AK103" s="39"/>
      <c r="AL103" s="39"/>
      <c r="AM103" s="39"/>
      <c r="AN103" s="39"/>
    </row>
    <row r="104" spans="1:40" x14ac:dyDescent="0.25">
      <c r="A104" s="4"/>
      <c r="B104" s="4"/>
      <c r="C104" s="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39"/>
      <c r="AK104" s="39"/>
      <c r="AL104" s="39"/>
      <c r="AM104" s="39"/>
      <c r="AN104" s="39"/>
    </row>
    <row r="105" spans="1:40" x14ac:dyDescent="0.25">
      <c r="A105" s="4"/>
      <c r="B105" s="4"/>
      <c r="C105" s="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39"/>
      <c r="AK105" s="39"/>
      <c r="AL105" s="39"/>
      <c r="AM105" s="39"/>
      <c r="AN105" s="39"/>
    </row>
    <row r="106" spans="1:40" x14ac:dyDescent="0.25">
      <c r="A106" s="4"/>
      <c r="B106" s="4"/>
      <c r="C106" s="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39"/>
      <c r="AK106" s="39"/>
      <c r="AL106" s="39"/>
      <c r="AM106" s="39"/>
      <c r="AN106" s="39"/>
    </row>
    <row r="107" spans="1:40" x14ac:dyDescent="0.25">
      <c r="A107" s="4"/>
      <c r="B107" s="4"/>
      <c r="C107" s="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39"/>
      <c r="AK107" s="39"/>
      <c r="AL107" s="39"/>
      <c r="AM107" s="39"/>
      <c r="AN107" s="39"/>
    </row>
    <row r="108" spans="1:40" x14ac:dyDescent="0.25">
      <c r="A108" s="4"/>
      <c r="B108" s="4"/>
      <c r="C108" s="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39"/>
      <c r="AK108" s="39"/>
      <c r="AL108" s="39"/>
      <c r="AM108" s="39"/>
      <c r="AN108" s="39"/>
    </row>
    <row r="109" spans="1:40" x14ac:dyDescent="0.25">
      <c r="A109" s="4"/>
      <c r="B109" s="4"/>
      <c r="C109" s="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39"/>
      <c r="AK109" s="39"/>
      <c r="AL109" s="39"/>
      <c r="AM109" s="39"/>
      <c r="AN109" s="39"/>
    </row>
    <row r="110" spans="1:40" x14ac:dyDescent="0.25">
      <c r="A110" s="4"/>
      <c r="B110" s="4"/>
      <c r="C110" s="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39"/>
      <c r="AK110" s="39"/>
      <c r="AL110" s="39"/>
      <c r="AM110" s="39"/>
      <c r="AN110" s="39"/>
    </row>
    <row r="111" spans="1:40" x14ac:dyDescent="0.25">
      <c r="A111" s="4"/>
      <c r="B111" s="4"/>
      <c r="C111" s="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39"/>
      <c r="AK111" s="39"/>
      <c r="AL111" s="39"/>
      <c r="AM111" s="39"/>
      <c r="AN111" s="39"/>
    </row>
    <row r="112" spans="1:40" x14ac:dyDescent="0.25">
      <c r="A112" s="4"/>
      <c r="B112" s="4"/>
      <c r="C112" s="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39"/>
      <c r="AK112" s="39"/>
      <c r="AL112" s="39"/>
      <c r="AM112" s="39"/>
      <c r="AN112" s="39"/>
    </row>
    <row r="113" spans="1:40" x14ac:dyDescent="0.25">
      <c r="A113" s="4"/>
      <c r="B113" s="4"/>
      <c r="C113" s="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39"/>
      <c r="AK113" s="39"/>
      <c r="AL113" s="39"/>
      <c r="AM113" s="39"/>
      <c r="AN113" s="39"/>
    </row>
    <row r="114" spans="1:40" x14ac:dyDescent="0.25">
      <c r="A114" s="4"/>
      <c r="B114" s="4"/>
      <c r="C114" s="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39"/>
      <c r="AK114" s="39"/>
      <c r="AL114" s="39"/>
      <c r="AM114" s="39"/>
      <c r="AN114" s="39"/>
    </row>
    <row r="115" spans="1:40" x14ac:dyDescent="0.25">
      <c r="A115" s="4"/>
      <c r="B115" s="4"/>
      <c r="C115" s="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39"/>
      <c r="AK115" s="39"/>
      <c r="AL115" s="39"/>
      <c r="AM115" s="39"/>
      <c r="AN115" s="39"/>
    </row>
    <row r="116" spans="1:40" x14ac:dyDescent="0.25">
      <c r="A116" s="4"/>
      <c r="B116" s="4"/>
      <c r="C116" s="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39"/>
      <c r="AK116" s="39"/>
      <c r="AL116" s="39"/>
      <c r="AM116" s="39"/>
      <c r="AN116" s="39"/>
    </row>
    <row r="117" spans="1:40" x14ac:dyDescent="0.25">
      <c r="A117" s="4"/>
      <c r="B117" s="4"/>
      <c r="C117" s="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39"/>
      <c r="AK117" s="39"/>
      <c r="AL117" s="39"/>
      <c r="AM117" s="39"/>
      <c r="AN117" s="39"/>
    </row>
    <row r="118" spans="1:40" x14ac:dyDescent="0.25">
      <c r="A118" s="4"/>
      <c r="B118" s="4"/>
      <c r="C118" s="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39"/>
      <c r="AK118" s="39"/>
      <c r="AL118" s="39"/>
      <c r="AM118" s="39"/>
      <c r="AN118" s="39"/>
    </row>
    <row r="119" spans="1:40" x14ac:dyDescent="0.25">
      <c r="A119" s="4"/>
      <c r="B119" s="4"/>
      <c r="C119" s="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39"/>
      <c r="AK119" s="39"/>
      <c r="AL119" s="39"/>
      <c r="AM119" s="39"/>
      <c r="AN119" s="39"/>
    </row>
    <row r="120" spans="1:40" x14ac:dyDescent="0.25">
      <c r="A120" s="4"/>
      <c r="B120" s="4"/>
      <c r="C120" s="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39"/>
      <c r="AK120" s="39"/>
      <c r="AL120" s="39"/>
      <c r="AM120" s="39"/>
      <c r="AN120" s="39"/>
    </row>
    <row r="121" spans="1:40" x14ac:dyDescent="0.25">
      <c r="A121" s="4"/>
      <c r="B121" s="4"/>
      <c r="C121" s="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39"/>
      <c r="AK121" s="39"/>
      <c r="AL121" s="39"/>
      <c r="AM121" s="39"/>
      <c r="AN121" s="39"/>
    </row>
    <row r="122" spans="1:40" x14ac:dyDescent="0.25">
      <c r="A122" s="4"/>
      <c r="B122" s="4"/>
      <c r="C122" s="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39"/>
      <c r="AK122" s="39"/>
      <c r="AL122" s="39"/>
      <c r="AM122" s="39"/>
      <c r="AN122" s="39"/>
    </row>
    <row r="123" spans="1:40" x14ac:dyDescent="0.25">
      <c r="A123" s="4"/>
      <c r="B123" s="4"/>
      <c r="C123" s="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39"/>
      <c r="AK123" s="39"/>
      <c r="AL123" s="39"/>
      <c r="AM123" s="39"/>
      <c r="AN123" s="39"/>
    </row>
    <row r="124" spans="1:40" x14ac:dyDescent="0.25">
      <c r="A124" s="4"/>
      <c r="B124" s="4"/>
      <c r="C124" s="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39"/>
      <c r="AK124" s="39"/>
      <c r="AL124" s="39"/>
      <c r="AM124" s="39"/>
      <c r="AN124" s="39"/>
    </row>
    <row r="125" spans="1:40" x14ac:dyDescent="0.25">
      <c r="A125" s="4"/>
      <c r="B125" s="4"/>
      <c r="C125" s="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39"/>
      <c r="AK125" s="39"/>
      <c r="AL125" s="39"/>
      <c r="AM125" s="39"/>
      <c r="AN125" s="39"/>
    </row>
    <row r="126" spans="1:40" x14ac:dyDescent="0.25">
      <c r="A126" s="4"/>
      <c r="B126" s="4"/>
      <c r="C126" s="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39"/>
      <c r="AK126" s="39"/>
      <c r="AL126" s="39"/>
      <c r="AM126" s="39"/>
      <c r="AN126" s="39"/>
    </row>
    <row r="127" spans="1:40" x14ac:dyDescent="0.25">
      <c r="A127" s="4"/>
      <c r="B127" s="4"/>
      <c r="C127" s="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39"/>
      <c r="AK127" s="39"/>
      <c r="AL127" s="39"/>
      <c r="AM127" s="39"/>
      <c r="AN127" s="39"/>
    </row>
    <row r="128" spans="1:40" x14ac:dyDescent="0.25">
      <c r="A128" s="4"/>
      <c r="B128" s="4"/>
      <c r="C128" s="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39"/>
      <c r="AK128" s="39"/>
      <c r="AL128" s="39"/>
      <c r="AM128" s="39"/>
      <c r="AN128" s="39"/>
    </row>
    <row r="129" spans="1:40" x14ac:dyDescent="0.25">
      <c r="A129" s="4"/>
      <c r="B129" s="4"/>
      <c r="C129" s="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39"/>
      <c r="AK129" s="39"/>
      <c r="AL129" s="39"/>
      <c r="AM129" s="39"/>
      <c r="AN129" s="39"/>
    </row>
    <row r="130" spans="1:40" x14ac:dyDescent="0.25">
      <c r="A130" s="4"/>
      <c r="B130" s="4"/>
      <c r="C130" s="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39"/>
      <c r="AK130" s="39"/>
      <c r="AL130" s="39"/>
      <c r="AM130" s="39"/>
      <c r="AN130" s="39"/>
    </row>
    <row r="131" spans="1:40" x14ac:dyDescent="0.25">
      <c r="A131" s="4"/>
      <c r="B131" s="4"/>
      <c r="C131" s="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39"/>
      <c r="AK131" s="39"/>
      <c r="AL131" s="39"/>
      <c r="AM131" s="39"/>
      <c r="AN131" s="39"/>
    </row>
    <row r="132" spans="1:40" x14ac:dyDescent="0.25">
      <c r="A132" s="4"/>
      <c r="B132" s="4"/>
      <c r="C132" s="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39"/>
      <c r="AK132" s="39"/>
      <c r="AL132" s="39"/>
      <c r="AM132" s="39"/>
      <c r="AN132" s="39"/>
    </row>
    <row r="133" spans="1:40" x14ac:dyDescent="0.25">
      <c r="A133" s="4"/>
      <c r="B133" s="4"/>
      <c r="C133" s="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39"/>
      <c r="AK133" s="39"/>
      <c r="AL133" s="39"/>
      <c r="AM133" s="39"/>
      <c r="AN133" s="39"/>
    </row>
    <row r="134" spans="1:40" x14ac:dyDescent="0.25">
      <c r="A134" s="4"/>
      <c r="B134" s="4"/>
      <c r="C134" s="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39"/>
      <c r="AK134" s="39"/>
      <c r="AL134" s="39"/>
      <c r="AM134" s="39"/>
      <c r="AN134" s="39"/>
    </row>
    <row r="135" spans="1:40" x14ac:dyDescent="0.25">
      <c r="A135" s="4"/>
      <c r="B135" s="4"/>
      <c r="C135" s="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39"/>
      <c r="AK135" s="39"/>
      <c r="AL135" s="39"/>
      <c r="AM135" s="39"/>
      <c r="AN135" s="39"/>
    </row>
    <row r="136" spans="1:40" x14ac:dyDescent="0.25">
      <c r="A136" s="4"/>
      <c r="B136" s="4"/>
      <c r="C136" s="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39"/>
      <c r="AK136" s="39"/>
      <c r="AL136" s="39"/>
      <c r="AM136" s="39"/>
      <c r="AN136" s="39"/>
    </row>
    <row r="137" spans="1:40" x14ac:dyDescent="0.25">
      <c r="A137" s="4"/>
      <c r="B137" s="4"/>
      <c r="C137" s="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39"/>
      <c r="AK137" s="39"/>
      <c r="AL137" s="39"/>
      <c r="AM137" s="39"/>
      <c r="AN137" s="39"/>
    </row>
    <row r="138" spans="1:40" x14ac:dyDescent="0.25">
      <c r="A138" s="4"/>
      <c r="B138" s="4"/>
      <c r="C138" s="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39"/>
      <c r="AK138" s="39"/>
      <c r="AL138" s="39"/>
      <c r="AM138" s="39"/>
      <c r="AN138" s="39"/>
    </row>
    <row r="139" spans="1:40" x14ac:dyDescent="0.25">
      <c r="A139" s="4"/>
      <c r="B139" s="4"/>
      <c r="C139" s="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39"/>
      <c r="AK139" s="39"/>
      <c r="AL139" s="39"/>
      <c r="AM139" s="39"/>
      <c r="AN139" s="39"/>
    </row>
    <row r="140" spans="1:40" x14ac:dyDescent="0.25">
      <c r="A140" s="4"/>
      <c r="B140" s="4"/>
      <c r="C140" s="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39"/>
      <c r="AK140" s="39"/>
      <c r="AL140" s="39"/>
      <c r="AM140" s="39"/>
      <c r="AN140" s="39"/>
    </row>
    <row r="141" spans="1:40" x14ac:dyDescent="0.25">
      <c r="A141" s="4"/>
      <c r="B141" s="4"/>
      <c r="C141" s="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39"/>
      <c r="AK141" s="39"/>
      <c r="AL141" s="39"/>
      <c r="AM141" s="39"/>
      <c r="AN141" s="39"/>
    </row>
    <row r="142" spans="1:40" x14ac:dyDescent="0.25">
      <c r="A142" s="4"/>
      <c r="B142" s="4"/>
      <c r="C142" s="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39"/>
      <c r="AK142" s="39"/>
      <c r="AL142" s="39"/>
      <c r="AM142" s="39"/>
      <c r="AN142" s="39"/>
    </row>
    <row r="143" spans="1:40" x14ac:dyDescent="0.25">
      <c r="A143" s="4"/>
      <c r="B143" s="4"/>
      <c r="C143" s="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39"/>
      <c r="AK143" s="39"/>
      <c r="AL143" s="39"/>
      <c r="AM143" s="39"/>
      <c r="AN143" s="39"/>
    </row>
    <row r="144" spans="1:40" x14ac:dyDescent="0.25">
      <c r="A144" s="4"/>
      <c r="B144" s="4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39"/>
      <c r="AK144" s="39"/>
      <c r="AL144" s="39"/>
      <c r="AM144" s="39"/>
      <c r="AN144" s="39"/>
    </row>
    <row r="145" spans="1:40" x14ac:dyDescent="0.25">
      <c r="A145" s="4"/>
      <c r="B145" s="4"/>
      <c r="C145" s="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39"/>
      <c r="AK145" s="39"/>
      <c r="AL145" s="39"/>
      <c r="AM145" s="39"/>
      <c r="AN145" s="39"/>
    </row>
    <row r="146" spans="1:40" x14ac:dyDescent="0.25">
      <c r="A146" s="4"/>
      <c r="B146" s="4"/>
      <c r="C146" s="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39"/>
      <c r="AK146" s="39"/>
      <c r="AL146" s="39"/>
      <c r="AM146" s="39"/>
      <c r="AN146" s="39"/>
    </row>
    <row r="147" spans="1:40" x14ac:dyDescent="0.25">
      <c r="A147" s="4"/>
      <c r="B147" s="4"/>
      <c r="C147" s="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39"/>
      <c r="AK147" s="39"/>
      <c r="AL147" s="39"/>
      <c r="AM147" s="39"/>
      <c r="AN147" s="39"/>
    </row>
    <row r="148" spans="1:40" x14ac:dyDescent="0.25">
      <c r="A148" s="4"/>
      <c r="B148" s="4"/>
      <c r="C148" s="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39"/>
      <c r="AK148" s="39"/>
      <c r="AL148" s="39"/>
      <c r="AM148" s="39"/>
      <c r="AN148" s="39"/>
    </row>
    <row r="149" spans="1:40" x14ac:dyDescent="0.25">
      <c r="A149" s="4"/>
      <c r="B149" s="4"/>
      <c r="C149" s="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39"/>
      <c r="AK149" s="39"/>
      <c r="AL149" s="39"/>
      <c r="AM149" s="39"/>
      <c r="AN149" s="39"/>
    </row>
    <row r="150" spans="1:40" x14ac:dyDescent="0.25">
      <c r="A150" s="4"/>
      <c r="B150" s="4"/>
      <c r="C150" s="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39"/>
      <c r="AK150" s="39"/>
      <c r="AL150" s="39"/>
      <c r="AM150" s="39"/>
      <c r="AN150" s="39"/>
    </row>
    <row r="151" spans="1:40" x14ac:dyDescent="0.25">
      <c r="A151" s="4"/>
      <c r="B151" s="4"/>
      <c r="C151" s="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39"/>
      <c r="AK151" s="39"/>
      <c r="AL151" s="39"/>
      <c r="AM151" s="39"/>
      <c r="AN151" s="39"/>
    </row>
    <row r="152" spans="1:40" x14ac:dyDescent="0.25">
      <c r="A152" s="4"/>
      <c r="B152" s="4"/>
      <c r="C152" s="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39"/>
      <c r="AK152" s="39"/>
      <c r="AL152" s="39"/>
      <c r="AM152" s="39"/>
      <c r="AN152" s="39"/>
    </row>
    <row r="153" spans="1:40" x14ac:dyDescent="0.25">
      <c r="A153" s="4"/>
      <c r="B153" s="4"/>
      <c r="C153" s="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39"/>
      <c r="AK153" s="39"/>
      <c r="AL153" s="39"/>
      <c r="AM153" s="39"/>
      <c r="AN153" s="39"/>
    </row>
    <row r="154" spans="1:40" x14ac:dyDescent="0.25">
      <c r="A154" s="4"/>
      <c r="B154" s="4"/>
      <c r="C154" s="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39"/>
      <c r="AK154" s="39"/>
      <c r="AL154" s="39"/>
      <c r="AM154" s="39"/>
      <c r="AN154" s="39"/>
    </row>
    <row r="155" spans="1:40" x14ac:dyDescent="0.25">
      <c r="A155" s="4"/>
      <c r="B155" s="4"/>
      <c r="C155" s="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39"/>
      <c r="AK155" s="39"/>
      <c r="AL155" s="39"/>
      <c r="AM155" s="39"/>
      <c r="AN155" s="39"/>
    </row>
    <row r="156" spans="1:40" x14ac:dyDescent="0.25">
      <c r="A156" s="4"/>
      <c r="B156" s="4"/>
      <c r="C156" s="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39"/>
      <c r="AK156" s="39"/>
      <c r="AL156" s="39"/>
      <c r="AM156" s="39"/>
      <c r="AN156" s="39"/>
    </row>
    <row r="157" spans="1:40" x14ac:dyDescent="0.25">
      <c r="A157" s="4"/>
      <c r="B157" s="4"/>
      <c r="C157" s="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39"/>
      <c r="AK157" s="39"/>
      <c r="AL157" s="39"/>
      <c r="AM157" s="39"/>
      <c r="AN157" s="39"/>
    </row>
    <row r="158" spans="1:40" x14ac:dyDescent="0.25">
      <c r="A158" s="4"/>
      <c r="B158" s="4"/>
      <c r="C158" s="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39"/>
      <c r="AK158" s="39"/>
      <c r="AL158" s="39"/>
      <c r="AM158" s="39"/>
      <c r="AN158" s="39"/>
    </row>
    <row r="159" spans="1:40" x14ac:dyDescent="0.25">
      <c r="A159" s="4"/>
      <c r="B159" s="4"/>
      <c r="C159" s="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39"/>
      <c r="AK159" s="39"/>
      <c r="AL159" s="39"/>
      <c r="AM159" s="39"/>
      <c r="AN159" s="39"/>
    </row>
    <row r="160" spans="1:40" x14ac:dyDescent="0.25">
      <c r="A160" s="4"/>
      <c r="B160" s="4"/>
      <c r="C160" s="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39"/>
      <c r="AK160" s="39"/>
      <c r="AL160" s="39"/>
      <c r="AM160" s="39"/>
      <c r="AN160" s="39"/>
    </row>
    <row r="161" spans="1:40" x14ac:dyDescent="0.25">
      <c r="A161" s="4"/>
      <c r="B161" s="4"/>
      <c r="C161" s="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39"/>
      <c r="AK161" s="39"/>
      <c r="AL161" s="39"/>
      <c r="AM161" s="39"/>
      <c r="AN161" s="39"/>
    </row>
    <row r="162" spans="1:40" x14ac:dyDescent="0.25">
      <c r="A162" s="4"/>
      <c r="B162" s="4"/>
      <c r="C162" s="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39"/>
      <c r="AK162" s="39"/>
      <c r="AL162" s="39"/>
      <c r="AM162" s="39"/>
      <c r="AN162" s="39"/>
    </row>
    <row r="163" spans="1:40" x14ac:dyDescent="0.25">
      <c r="A163" s="4"/>
      <c r="B163" s="4"/>
      <c r="C163" s="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39"/>
      <c r="AK163" s="39"/>
      <c r="AL163" s="39"/>
      <c r="AM163" s="39"/>
      <c r="AN163" s="39"/>
    </row>
    <row r="164" spans="1:40" x14ac:dyDescent="0.25">
      <c r="A164" s="4"/>
      <c r="B164" s="4"/>
      <c r="C164" s="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39"/>
      <c r="AK164" s="39"/>
      <c r="AL164" s="39"/>
      <c r="AM164" s="39"/>
      <c r="AN164" s="39"/>
    </row>
    <row r="165" spans="1:40" x14ac:dyDescent="0.25">
      <c r="A165" s="4"/>
      <c r="B165" s="4"/>
      <c r="C165" s="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39"/>
      <c r="AK165" s="39"/>
      <c r="AL165" s="39"/>
      <c r="AM165" s="39"/>
      <c r="AN165" s="39"/>
    </row>
    <row r="166" spans="1:40" x14ac:dyDescent="0.25">
      <c r="A166" s="4"/>
      <c r="B166" s="4"/>
      <c r="C166" s="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39"/>
      <c r="AK166" s="39"/>
      <c r="AL166" s="39"/>
      <c r="AM166" s="39"/>
      <c r="AN166" s="39"/>
    </row>
    <row r="167" spans="1:40" x14ac:dyDescent="0.25">
      <c r="A167" s="4"/>
      <c r="B167" s="4"/>
      <c r="C167" s="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39"/>
      <c r="AK167" s="39"/>
      <c r="AL167" s="39"/>
      <c r="AM167" s="39"/>
      <c r="AN167" s="39"/>
    </row>
    <row r="168" spans="1:40" x14ac:dyDescent="0.25">
      <c r="A168" s="4"/>
      <c r="B168" s="4"/>
      <c r="C168" s="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39"/>
      <c r="AK168" s="39"/>
      <c r="AL168" s="39"/>
      <c r="AM168" s="39"/>
      <c r="AN168" s="39"/>
    </row>
    <row r="169" spans="1:40" x14ac:dyDescent="0.25">
      <c r="A169" s="4"/>
      <c r="B169" s="4"/>
      <c r="C169" s="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39"/>
      <c r="AK169" s="39"/>
      <c r="AL169" s="39"/>
      <c r="AM169" s="39"/>
      <c r="AN169" s="39"/>
    </row>
    <row r="170" spans="1:40" x14ac:dyDescent="0.25">
      <c r="A170" s="4"/>
      <c r="B170" s="4"/>
      <c r="C170" s="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39"/>
      <c r="AK170" s="39"/>
      <c r="AL170" s="39"/>
      <c r="AM170" s="39"/>
      <c r="AN170" s="39"/>
    </row>
    <row r="171" spans="1:40" x14ac:dyDescent="0.25">
      <c r="A171" s="4"/>
      <c r="B171" s="4"/>
      <c r="C171" s="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39"/>
      <c r="AK171" s="39"/>
      <c r="AL171" s="39"/>
      <c r="AM171" s="39"/>
      <c r="AN171" s="39"/>
    </row>
    <row r="172" spans="1:40" x14ac:dyDescent="0.25">
      <c r="A172" s="4"/>
      <c r="B172" s="4"/>
      <c r="C172" s="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39"/>
      <c r="AK172" s="39"/>
      <c r="AL172" s="39"/>
      <c r="AM172" s="39"/>
      <c r="AN172" s="39"/>
    </row>
    <row r="173" spans="1:40" x14ac:dyDescent="0.25">
      <c r="A173" s="4"/>
      <c r="B173" s="4"/>
      <c r="C173" s="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39"/>
      <c r="AK173" s="39"/>
      <c r="AL173" s="39"/>
      <c r="AM173" s="39"/>
      <c r="AN173" s="39"/>
    </row>
    <row r="174" spans="1:40" x14ac:dyDescent="0.25">
      <c r="A174" s="4"/>
      <c r="B174" s="4"/>
      <c r="C174" s="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39"/>
      <c r="AK174" s="39"/>
      <c r="AL174" s="39"/>
      <c r="AM174" s="39"/>
      <c r="AN174" s="39"/>
    </row>
    <row r="175" spans="1:40" x14ac:dyDescent="0.25">
      <c r="A175" s="4"/>
      <c r="B175" s="4"/>
      <c r="C175" s="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39"/>
      <c r="AK175" s="39"/>
      <c r="AL175" s="39"/>
      <c r="AM175" s="39"/>
      <c r="AN175" s="39"/>
    </row>
    <row r="176" spans="1:40" x14ac:dyDescent="0.25">
      <c r="A176" s="4"/>
      <c r="B176" s="4"/>
      <c r="C176" s="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39"/>
      <c r="AK176" s="39"/>
      <c r="AL176" s="39"/>
      <c r="AM176" s="39"/>
      <c r="AN176" s="39"/>
    </row>
    <row r="177" spans="1:40" x14ac:dyDescent="0.25">
      <c r="A177" s="4"/>
      <c r="B177" s="4"/>
      <c r="C177" s="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39"/>
      <c r="AK177" s="39"/>
      <c r="AL177" s="39"/>
      <c r="AM177" s="39"/>
      <c r="AN177" s="39"/>
    </row>
    <row r="178" spans="1:40" x14ac:dyDescent="0.25">
      <c r="A178" s="4"/>
      <c r="B178" s="4"/>
      <c r="C178" s="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39"/>
      <c r="AK178" s="39"/>
      <c r="AL178" s="39"/>
      <c r="AM178" s="39"/>
      <c r="AN178" s="39"/>
    </row>
    <row r="179" spans="1:40" x14ac:dyDescent="0.25">
      <c r="A179" s="4"/>
      <c r="B179" s="4"/>
      <c r="C179" s="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39"/>
      <c r="AK179" s="39"/>
      <c r="AL179" s="39"/>
      <c r="AM179" s="39"/>
      <c r="AN179" s="39"/>
    </row>
    <row r="180" spans="1:40" x14ac:dyDescent="0.25">
      <c r="A180" s="4"/>
      <c r="B180" s="4"/>
      <c r="C180" s="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39"/>
      <c r="AK180" s="39"/>
      <c r="AL180" s="39"/>
      <c r="AM180" s="39"/>
      <c r="AN180" s="39"/>
    </row>
    <row r="181" spans="1:40" x14ac:dyDescent="0.25">
      <c r="A181" s="4"/>
      <c r="B181" s="4"/>
      <c r="C181" s="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39"/>
      <c r="AK181" s="39"/>
      <c r="AL181" s="39"/>
      <c r="AM181" s="39"/>
      <c r="AN181" s="39"/>
    </row>
    <row r="182" spans="1:40" x14ac:dyDescent="0.25">
      <c r="A182" s="4"/>
      <c r="B182" s="4"/>
      <c r="C182" s="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39"/>
      <c r="AK182" s="39"/>
      <c r="AL182" s="39"/>
      <c r="AM182" s="39"/>
      <c r="AN182" s="39"/>
    </row>
    <row r="183" spans="1:40" x14ac:dyDescent="0.25">
      <c r="A183" s="4"/>
      <c r="B183" s="4"/>
      <c r="C183" s="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39"/>
      <c r="AK183" s="39"/>
      <c r="AL183" s="39"/>
      <c r="AM183" s="39"/>
      <c r="AN183" s="39"/>
    </row>
    <row r="184" spans="1:40" x14ac:dyDescent="0.25">
      <c r="A184" s="4"/>
      <c r="B184" s="4"/>
      <c r="C184" s="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39"/>
      <c r="AK184" s="39"/>
      <c r="AL184" s="39"/>
      <c r="AM184" s="39"/>
      <c r="AN184" s="39"/>
    </row>
    <row r="185" spans="1:40" x14ac:dyDescent="0.25">
      <c r="A185" s="4"/>
      <c r="B185" s="4"/>
      <c r="C185" s="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39"/>
      <c r="AK185" s="39"/>
      <c r="AL185" s="39"/>
      <c r="AM185" s="39"/>
      <c r="AN185" s="39"/>
    </row>
    <row r="186" spans="1:40" x14ac:dyDescent="0.25">
      <c r="A186" s="4"/>
      <c r="B186" s="4"/>
      <c r="C186" s="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39"/>
      <c r="AK186" s="39"/>
      <c r="AL186" s="39"/>
      <c r="AM186" s="39"/>
      <c r="AN186" s="39"/>
    </row>
    <row r="187" spans="1:40" x14ac:dyDescent="0.25">
      <c r="A187" s="4"/>
      <c r="B187" s="4"/>
      <c r="C187" s="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39"/>
      <c r="AK187" s="39"/>
      <c r="AL187" s="39"/>
      <c r="AM187" s="39"/>
      <c r="AN187" s="39"/>
    </row>
    <row r="188" spans="1:40" x14ac:dyDescent="0.25">
      <c r="A188" s="4"/>
      <c r="B188" s="4"/>
      <c r="C188" s="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39"/>
      <c r="AK188" s="39"/>
      <c r="AL188" s="39"/>
      <c r="AM188" s="39"/>
      <c r="AN188" s="39"/>
    </row>
    <row r="189" spans="1:40" x14ac:dyDescent="0.25">
      <c r="A189" s="4"/>
      <c r="B189" s="4"/>
      <c r="C189" s="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39"/>
      <c r="AK189" s="39"/>
      <c r="AL189" s="39"/>
      <c r="AM189" s="39"/>
      <c r="AN189" s="39"/>
    </row>
    <row r="190" spans="1:40" x14ac:dyDescent="0.25">
      <c r="A190" s="4"/>
      <c r="B190" s="4"/>
      <c r="C190" s="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39"/>
      <c r="AK190" s="39"/>
      <c r="AL190" s="39"/>
      <c r="AM190" s="39"/>
      <c r="AN190" s="39"/>
    </row>
    <row r="191" spans="1:40" x14ac:dyDescent="0.25">
      <c r="A191" s="4"/>
      <c r="B191" s="4"/>
      <c r="C191" s="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39"/>
      <c r="AK191" s="39"/>
      <c r="AL191" s="39"/>
      <c r="AM191" s="39"/>
      <c r="AN191" s="39"/>
    </row>
    <row r="192" spans="1:40" x14ac:dyDescent="0.25">
      <c r="A192" s="4"/>
      <c r="B192" s="4"/>
      <c r="C192" s="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39"/>
      <c r="AK192" s="39"/>
      <c r="AL192" s="39"/>
      <c r="AM192" s="39"/>
      <c r="AN192" s="39"/>
    </row>
    <row r="193" spans="1:40" x14ac:dyDescent="0.25">
      <c r="A193" s="4"/>
      <c r="B193" s="4"/>
      <c r="C193" s="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39"/>
      <c r="AK193" s="39"/>
      <c r="AL193" s="39"/>
      <c r="AM193" s="39"/>
      <c r="AN193" s="39"/>
    </row>
    <row r="194" spans="1:40" x14ac:dyDescent="0.25">
      <c r="A194" s="4"/>
      <c r="B194" s="4"/>
      <c r="C194" s="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39"/>
      <c r="AK194" s="39"/>
      <c r="AL194" s="39"/>
      <c r="AM194" s="39"/>
      <c r="AN194" s="39"/>
    </row>
    <row r="195" spans="1:40" x14ac:dyDescent="0.25">
      <c r="A195" s="4"/>
      <c r="B195" s="4"/>
      <c r="C195" s="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39"/>
      <c r="AK195" s="39"/>
      <c r="AL195" s="39"/>
      <c r="AM195" s="39"/>
      <c r="AN195" s="39"/>
    </row>
    <row r="196" spans="1:40" x14ac:dyDescent="0.25">
      <c r="A196" s="4"/>
      <c r="B196" s="4"/>
      <c r="C196" s="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39"/>
      <c r="AK196" s="39"/>
      <c r="AL196" s="39"/>
      <c r="AM196" s="39"/>
      <c r="AN196" s="39"/>
    </row>
    <row r="197" spans="1:40" x14ac:dyDescent="0.25">
      <c r="A197" s="4"/>
      <c r="B197" s="4"/>
      <c r="C197" s="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39"/>
      <c r="AK197" s="39"/>
      <c r="AL197" s="39"/>
      <c r="AM197" s="39"/>
      <c r="AN197" s="39"/>
    </row>
    <row r="198" spans="1:40" x14ac:dyDescent="0.25">
      <c r="A198" s="4"/>
      <c r="B198" s="4"/>
      <c r="C198" s="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39"/>
      <c r="AK198" s="39"/>
      <c r="AL198" s="39"/>
      <c r="AM198" s="39"/>
      <c r="AN198" s="39"/>
    </row>
    <row r="199" spans="1:40" x14ac:dyDescent="0.25">
      <c r="A199" s="4"/>
      <c r="B199" s="4"/>
      <c r="C199" s="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39"/>
      <c r="AK199" s="39"/>
      <c r="AL199" s="39"/>
      <c r="AM199" s="39"/>
      <c r="AN199" s="39"/>
    </row>
    <row r="200" spans="1:40" x14ac:dyDescent="0.25">
      <c r="A200" s="4"/>
      <c r="B200" s="4"/>
      <c r="C200" s="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39"/>
      <c r="AK200" s="39"/>
      <c r="AL200" s="39"/>
      <c r="AM200" s="39"/>
      <c r="AN200" s="39"/>
    </row>
    <row r="201" spans="1:40" x14ac:dyDescent="0.25">
      <c r="A201" s="4"/>
      <c r="B201" s="4"/>
      <c r="C201" s="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39"/>
      <c r="AK201" s="39"/>
      <c r="AL201" s="39"/>
      <c r="AM201" s="39"/>
      <c r="AN201" s="39"/>
    </row>
    <row r="202" spans="1:40" x14ac:dyDescent="0.25">
      <c r="A202" s="4"/>
      <c r="B202" s="4"/>
      <c r="C202" s="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39"/>
      <c r="AK202" s="39"/>
      <c r="AL202" s="39"/>
      <c r="AM202" s="39"/>
      <c r="AN202" s="39"/>
    </row>
    <row r="203" spans="1:40" x14ac:dyDescent="0.25">
      <c r="A203" s="4"/>
      <c r="B203" s="4"/>
      <c r="C203" s="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39"/>
      <c r="AK203" s="39"/>
      <c r="AL203" s="39"/>
      <c r="AM203" s="39"/>
      <c r="AN203" s="39"/>
    </row>
    <row r="204" spans="1:40" x14ac:dyDescent="0.25">
      <c r="A204" s="4"/>
      <c r="B204" s="4"/>
      <c r="C204" s="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39"/>
      <c r="AK204" s="39"/>
      <c r="AL204" s="39"/>
      <c r="AM204" s="39"/>
      <c r="AN204" s="39"/>
    </row>
    <row r="205" spans="1:40" x14ac:dyDescent="0.25">
      <c r="A205" s="4"/>
      <c r="B205" s="4"/>
      <c r="C205" s="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39"/>
      <c r="AK205" s="39"/>
      <c r="AL205" s="39"/>
      <c r="AM205" s="39"/>
      <c r="AN205" s="39"/>
    </row>
    <row r="206" spans="1:40" x14ac:dyDescent="0.25">
      <c r="A206" s="4"/>
      <c r="B206" s="4"/>
      <c r="C206" s="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39"/>
      <c r="AK206" s="39"/>
      <c r="AL206" s="39"/>
      <c r="AM206" s="39"/>
      <c r="AN206" s="39"/>
    </row>
    <row r="207" spans="1:40" x14ac:dyDescent="0.25">
      <c r="A207" s="4"/>
      <c r="B207" s="4"/>
      <c r="C207" s="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39"/>
      <c r="AK207" s="39"/>
      <c r="AL207" s="39"/>
      <c r="AM207" s="39"/>
      <c r="AN207" s="39"/>
    </row>
    <row r="208" spans="1:40" x14ac:dyDescent="0.25">
      <c r="A208" s="4"/>
      <c r="B208" s="4"/>
      <c r="C208" s="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39"/>
      <c r="AK208" s="39"/>
      <c r="AL208" s="39"/>
      <c r="AM208" s="39"/>
      <c r="AN208" s="39"/>
    </row>
    <row r="209" spans="1:40" x14ac:dyDescent="0.25">
      <c r="A209" s="4"/>
      <c r="B209" s="4"/>
      <c r="C209" s="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39"/>
      <c r="AK209" s="39"/>
      <c r="AL209" s="39"/>
      <c r="AM209" s="39"/>
      <c r="AN209" s="39"/>
    </row>
    <row r="210" spans="1:40" x14ac:dyDescent="0.25">
      <c r="A210" s="4"/>
      <c r="B210" s="4"/>
      <c r="C210" s="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39"/>
      <c r="AK210" s="39"/>
      <c r="AL210" s="39"/>
      <c r="AM210" s="39"/>
      <c r="AN210" s="39"/>
    </row>
    <row r="211" spans="1:40" x14ac:dyDescent="0.25">
      <c r="A211" s="4"/>
      <c r="B211" s="4"/>
      <c r="C211" s="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39"/>
      <c r="AK211" s="39"/>
      <c r="AL211" s="39"/>
      <c r="AM211" s="39"/>
      <c r="AN211" s="39"/>
    </row>
    <row r="212" spans="1:40" x14ac:dyDescent="0.25">
      <c r="A212" s="4"/>
      <c r="B212" s="4"/>
      <c r="C212" s="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39"/>
      <c r="AK212" s="39"/>
      <c r="AL212" s="39"/>
      <c r="AM212" s="39"/>
      <c r="AN212" s="39"/>
    </row>
    <row r="213" spans="1:40" x14ac:dyDescent="0.25">
      <c r="A213" s="4"/>
      <c r="B213" s="4"/>
      <c r="C213" s="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39"/>
      <c r="AK213" s="39"/>
      <c r="AL213" s="39"/>
      <c r="AM213" s="39"/>
      <c r="AN213" s="39"/>
    </row>
    <row r="214" spans="1:40" x14ac:dyDescent="0.25">
      <c r="A214" s="4"/>
      <c r="B214" s="4"/>
      <c r="C214" s="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39"/>
      <c r="AK214" s="39"/>
      <c r="AL214" s="39"/>
      <c r="AM214" s="39"/>
      <c r="AN214" s="39"/>
    </row>
    <row r="215" spans="1:40" x14ac:dyDescent="0.25">
      <c r="A215" s="4"/>
      <c r="B215" s="4"/>
      <c r="C215" s="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39"/>
      <c r="AK215" s="39"/>
      <c r="AL215" s="39"/>
      <c r="AM215" s="39"/>
      <c r="AN215" s="39"/>
    </row>
    <row r="216" spans="1:40" x14ac:dyDescent="0.25">
      <c r="A216" s="4"/>
      <c r="B216" s="4"/>
      <c r="C216" s="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39"/>
      <c r="AK216" s="39"/>
      <c r="AL216" s="39"/>
      <c r="AM216" s="39"/>
      <c r="AN216" s="39"/>
    </row>
    <row r="217" spans="1:40" x14ac:dyDescent="0.25">
      <c r="A217" s="4"/>
      <c r="B217" s="4"/>
      <c r="C217" s="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39"/>
      <c r="AK217" s="39"/>
      <c r="AL217" s="39"/>
      <c r="AM217" s="39"/>
      <c r="AN217" s="39"/>
    </row>
    <row r="218" spans="1:40" x14ac:dyDescent="0.25">
      <c r="A218" s="4"/>
      <c r="B218" s="4"/>
      <c r="C218" s="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39"/>
      <c r="AK218" s="39"/>
      <c r="AL218" s="39"/>
      <c r="AM218" s="39"/>
      <c r="AN218" s="39"/>
    </row>
    <row r="219" spans="1:40" x14ac:dyDescent="0.25">
      <c r="A219" s="4"/>
      <c r="B219" s="4"/>
      <c r="C219" s="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39"/>
      <c r="AK219" s="39"/>
      <c r="AL219" s="39"/>
      <c r="AM219" s="39"/>
      <c r="AN219" s="39"/>
    </row>
    <row r="220" spans="1:40" x14ac:dyDescent="0.25">
      <c r="A220" s="4"/>
      <c r="B220" s="4"/>
      <c r="C220" s="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39"/>
      <c r="AK220" s="39"/>
      <c r="AL220" s="39"/>
      <c r="AM220" s="39"/>
      <c r="AN220" s="39"/>
    </row>
    <row r="221" spans="1:40" x14ac:dyDescent="0.25">
      <c r="A221" s="4"/>
      <c r="B221" s="4"/>
      <c r="C221" s="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39"/>
      <c r="AK221" s="39"/>
      <c r="AL221" s="39"/>
      <c r="AM221" s="39"/>
      <c r="AN221" s="39"/>
    </row>
    <row r="222" spans="1:40" x14ac:dyDescent="0.25">
      <c r="A222" s="4"/>
      <c r="B222" s="4"/>
      <c r="C222" s="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39"/>
      <c r="AK222" s="39"/>
      <c r="AL222" s="39"/>
      <c r="AM222" s="39"/>
      <c r="AN222" s="39"/>
    </row>
    <row r="223" spans="1:40" x14ac:dyDescent="0.25">
      <c r="A223" s="4"/>
      <c r="B223" s="4"/>
      <c r="C223" s="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39"/>
      <c r="AK223" s="39"/>
      <c r="AL223" s="39"/>
      <c r="AM223" s="39"/>
      <c r="AN223" s="39"/>
    </row>
    <row r="224" spans="1:40" x14ac:dyDescent="0.25">
      <c r="A224" s="4"/>
      <c r="B224" s="4"/>
      <c r="C224" s="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39"/>
      <c r="AK224" s="39"/>
      <c r="AL224" s="39"/>
      <c r="AM224" s="39"/>
      <c r="AN224" s="39"/>
    </row>
    <row r="225" spans="1:40" x14ac:dyDescent="0.25">
      <c r="A225" s="4"/>
      <c r="B225" s="4"/>
      <c r="C225" s="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39"/>
      <c r="AK225" s="39"/>
      <c r="AL225" s="39"/>
      <c r="AM225" s="39"/>
      <c r="AN225" s="39"/>
    </row>
    <row r="226" spans="1:40" x14ac:dyDescent="0.25">
      <c r="A226" s="4"/>
      <c r="B226" s="4"/>
      <c r="C226" s="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39"/>
      <c r="AK226" s="39"/>
      <c r="AL226" s="39"/>
      <c r="AM226" s="39"/>
      <c r="AN226" s="39"/>
    </row>
    <row r="227" spans="1:40" x14ac:dyDescent="0.25">
      <c r="A227" s="4"/>
      <c r="B227" s="4"/>
      <c r="C227" s="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39"/>
      <c r="AK227" s="39"/>
      <c r="AL227" s="39"/>
      <c r="AM227" s="39"/>
      <c r="AN227" s="39"/>
    </row>
    <row r="228" spans="1:40" x14ac:dyDescent="0.25">
      <c r="A228" s="4"/>
      <c r="B228" s="4"/>
      <c r="C228" s="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39"/>
      <c r="AK228" s="39"/>
      <c r="AL228" s="39"/>
      <c r="AM228" s="39"/>
      <c r="AN228" s="39"/>
    </row>
    <row r="229" spans="1:40" x14ac:dyDescent="0.25">
      <c r="A229" s="4"/>
      <c r="B229" s="4"/>
      <c r="C229" s="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39"/>
      <c r="AK229" s="39"/>
      <c r="AL229" s="39"/>
      <c r="AM229" s="39"/>
      <c r="AN229" s="39"/>
    </row>
    <row r="230" spans="1:40" x14ac:dyDescent="0.25">
      <c r="A230" s="4"/>
      <c r="B230" s="4"/>
      <c r="C230" s="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39"/>
      <c r="AK230" s="39"/>
      <c r="AL230" s="39"/>
      <c r="AM230" s="39"/>
      <c r="AN230" s="39"/>
    </row>
    <row r="231" spans="1:40" x14ac:dyDescent="0.25">
      <c r="A231" s="4"/>
      <c r="B231" s="4"/>
      <c r="C231" s="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39"/>
      <c r="AK231" s="39"/>
      <c r="AL231" s="39"/>
      <c r="AM231" s="39"/>
      <c r="AN231" s="39"/>
    </row>
    <row r="232" spans="1:40" x14ac:dyDescent="0.25">
      <c r="A232" s="4"/>
      <c r="B232" s="4"/>
      <c r="C232" s="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39"/>
      <c r="AK232" s="39"/>
      <c r="AL232" s="39"/>
      <c r="AM232" s="39"/>
      <c r="AN232" s="39"/>
    </row>
    <row r="233" spans="1:40" x14ac:dyDescent="0.25">
      <c r="A233" s="4"/>
      <c r="B233" s="4"/>
      <c r="C233" s="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39"/>
      <c r="AK233" s="39"/>
      <c r="AL233" s="39"/>
      <c r="AM233" s="39"/>
      <c r="AN233" s="39"/>
    </row>
    <row r="234" spans="1:40" x14ac:dyDescent="0.25">
      <c r="A234" s="4"/>
      <c r="B234" s="4"/>
      <c r="C234" s="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39"/>
      <c r="AK234" s="39"/>
      <c r="AL234" s="39"/>
      <c r="AM234" s="39"/>
      <c r="AN234" s="39"/>
    </row>
    <row r="235" spans="1:40" x14ac:dyDescent="0.25">
      <c r="A235" s="4"/>
      <c r="B235" s="4"/>
      <c r="C235" s="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39"/>
      <c r="AK235" s="39"/>
      <c r="AL235" s="39"/>
      <c r="AM235" s="39"/>
      <c r="AN235" s="39"/>
    </row>
    <row r="236" spans="1:40" x14ac:dyDescent="0.25">
      <c r="A236" s="4"/>
      <c r="B236" s="4"/>
      <c r="C236" s="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39"/>
      <c r="AK236" s="39"/>
      <c r="AL236" s="39"/>
      <c r="AM236" s="39"/>
      <c r="AN236" s="39"/>
    </row>
    <row r="237" spans="1:40" x14ac:dyDescent="0.25">
      <c r="A237" s="4"/>
      <c r="B237" s="4"/>
      <c r="C237" s="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39"/>
      <c r="AK237" s="39"/>
      <c r="AL237" s="39"/>
      <c r="AM237" s="39"/>
      <c r="AN237" s="39"/>
    </row>
    <row r="238" spans="1:40" x14ac:dyDescent="0.25">
      <c r="A238" s="4"/>
      <c r="B238" s="4"/>
      <c r="C238" s="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39"/>
      <c r="AK238" s="39"/>
      <c r="AL238" s="39"/>
      <c r="AM238" s="39"/>
      <c r="AN238" s="39"/>
    </row>
    <row r="239" spans="1:40" x14ac:dyDescent="0.25">
      <c r="A239" s="4"/>
      <c r="B239" s="4"/>
      <c r="C239" s="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39"/>
      <c r="AK239" s="39"/>
      <c r="AL239" s="39"/>
      <c r="AM239" s="39"/>
      <c r="AN239" s="39"/>
    </row>
    <row r="240" spans="1:40" x14ac:dyDescent="0.25">
      <c r="C240" s="9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41" x14ac:dyDescent="0.25">
      <c r="C241" s="9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41" x14ac:dyDescent="0.25">
      <c r="C242" s="9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41" x14ac:dyDescent="0.25">
      <c r="C243" s="9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41" x14ac:dyDescent="0.25">
      <c r="C244" s="9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41" x14ac:dyDescent="0.25">
      <c r="C245" s="9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41" x14ac:dyDescent="0.25">
      <c r="C246" s="9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41" s="40" customFormat="1" x14ac:dyDescent="0.25">
      <c r="A247" s="1"/>
      <c r="B247" s="1"/>
      <c r="C247" s="9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O247"/>
    </row>
    <row r="248" spans="1:41" s="40" customFormat="1" x14ac:dyDescent="0.25">
      <c r="A248" s="1"/>
      <c r="B248" s="1"/>
      <c r="C248" s="9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O248"/>
    </row>
    <row r="249" spans="1:41" s="40" customFormat="1" x14ac:dyDescent="0.25">
      <c r="A249" s="1"/>
      <c r="B249" s="1"/>
      <c r="C249" s="9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O249"/>
    </row>
    <row r="250" spans="1:41" s="40" customFormat="1" x14ac:dyDescent="0.25">
      <c r="A250" s="1"/>
      <c r="B250" s="1"/>
      <c r="C250" s="9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O250"/>
    </row>
    <row r="251" spans="1:41" s="40" customFormat="1" x14ac:dyDescent="0.25">
      <c r="A251" s="1"/>
      <c r="B251" s="1"/>
      <c r="C251" s="9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O251"/>
    </row>
    <row r="252" spans="1:41" s="40" customFormat="1" x14ac:dyDescent="0.25">
      <c r="A252" s="1"/>
      <c r="B252" s="1"/>
      <c r="C252" s="9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O252"/>
    </row>
    <row r="253" spans="1:41" s="40" customFormat="1" x14ac:dyDescent="0.25">
      <c r="A253" s="1"/>
      <c r="B253" s="1"/>
      <c r="C253" s="9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O253"/>
    </row>
    <row r="254" spans="1:41" s="40" customFormat="1" x14ac:dyDescent="0.25">
      <c r="A254" s="1"/>
      <c r="B254" s="1"/>
      <c r="C254" s="9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O254"/>
    </row>
    <row r="255" spans="1:41" s="40" customFormat="1" x14ac:dyDescent="0.25">
      <c r="A255" s="1"/>
      <c r="B255" s="1"/>
      <c r="C255" s="9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O255"/>
    </row>
    <row r="256" spans="1:41" s="40" customFormat="1" x14ac:dyDescent="0.25">
      <c r="A256" s="1"/>
      <c r="B256" s="1"/>
      <c r="C256" s="9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O256"/>
    </row>
    <row r="257" spans="1:41" s="40" customFormat="1" x14ac:dyDescent="0.25">
      <c r="A257" s="1"/>
      <c r="B257" s="1"/>
      <c r="C257" s="9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O257"/>
    </row>
    <row r="258" spans="1:41" s="40" customFormat="1" x14ac:dyDescent="0.25">
      <c r="A258" s="1"/>
      <c r="B258" s="1"/>
      <c r="C258" s="9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O258"/>
    </row>
    <row r="259" spans="1:41" s="40" customFormat="1" x14ac:dyDescent="0.25">
      <c r="A259" s="1"/>
      <c r="B259" s="1"/>
      <c r="C259" s="9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O259"/>
    </row>
    <row r="260" spans="1:41" s="40" customFormat="1" x14ac:dyDescent="0.25">
      <c r="A260" s="1"/>
      <c r="B260" s="1"/>
      <c r="C260" s="9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O260"/>
    </row>
    <row r="261" spans="1:41" s="40" customFormat="1" x14ac:dyDescent="0.25">
      <c r="A261" s="1"/>
      <c r="B261" s="1"/>
      <c r="C261" s="9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O261"/>
    </row>
    <row r="262" spans="1:41" s="40" customFormat="1" x14ac:dyDescent="0.25">
      <c r="A262" s="1"/>
      <c r="B262" s="1"/>
      <c r="C262" s="9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O262"/>
    </row>
    <row r="263" spans="1:41" s="40" customFormat="1" x14ac:dyDescent="0.25">
      <c r="A263" s="1"/>
      <c r="B263" s="1"/>
      <c r="C263" s="9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O263"/>
    </row>
    <row r="264" spans="1:41" s="40" customFormat="1" x14ac:dyDescent="0.25">
      <c r="A264" s="1"/>
      <c r="B264" s="1"/>
      <c r="C264" s="9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O264"/>
    </row>
    <row r="265" spans="1:41" s="40" customFormat="1" x14ac:dyDescent="0.25">
      <c r="A265" s="1"/>
      <c r="B265" s="1"/>
      <c r="C265" s="9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O265"/>
    </row>
    <row r="266" spans="1:41" s="40" customFormat="1" x14ac:dyDescent="0.25">
      <c r="A266" s="1"/>
      <c r="B266" s="1"/>
      <c r="C266" s="9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O266"/>
    </row>
    <row r="267" spans="1:41" s="40" customFormat="1" x14ac:dyDescent="0.25">
      <c r="A267" s="1"/>
      <c r="B267" s="1"/>
      <c r="C267" s="9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O267"/>
    </row>
    <row r="268" spans="1:41" s="40" customFormat="1" x14ac:dyDescent="0.25">
      <c r="A268" s="1"/>
      <c r="B268" s="1"/>
      <c r="C268" s="9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O268"/>
    </row>
    <row r="269" spans="1:41" s="40" customFormat="1" x14ac:dyDescent="0.25">
      <c r="A269" s="1"/>
      <c r="B269" s="1"/>
      <c r="C269" s="9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O269"/>
    </row>
    <row r="270" spans="1:41" s="40" customFormat="1" x14ac:dyDescent="0.25">
      <c r="A270" s="1"/>
      <c r="B270" s="1"/>
      <c r="C270" s="9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O270"/>
    </row>
    <row r="271" spans="1:41" s="40" customFormat="1" x14ac:dyDescent="0.25">
      <c r="A271" s="1"/>
      <c r="B271" s="1"/>
      <c r="C271" s="9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O271"/>
    </row>
    <row r="272" spans="1:41" s="40" customFormat="1" x14ac:dyDescent="0.25">
      <c r="A272" s="1"/>
      <c r="B272" s="1"/>
      <c r="C272" s="9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O272"/>
    </row>
    <row r="273" spans="1:41" s="40" customFormat="1" x14ac:dyDescent="0.25">
      <c r="A273" s="1"/>
      <c r="B273" s="1"/>
      <c r="C273" s="9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O273"/>
    </row>
    <row r="274" spans="1:41" s="40" customFormat="1" x14ac:dyDescent="0.25">
      <c r="A274" s="1"/>
      <c r="B274" s="1"/>
      <c r="C274" s="9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O274"/>
    </row>
    <row r="275" spans="1:41" s="40" customFormat="1" x14ac:dyDescent="0.25">
      <c r="A275" s="1"/>
      <c r="B275" s="1"/>
      <c r="C275" s="9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O275"/>
    </row>
    <row r="276" spans="1:41" s="40" customFormat="1" x14ac:dyDescent="0.25">
      <c r="A276" s="1"/>
      <c r="B276" s="1"/>
      <c r="C276" s="9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O276"/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</hyperlinks>
  <pageMargins left="0.511811024" right="0.511811024" top="0.78740157499999996" bottom="0.78740157499999996" header="0.31496062000000002" footer="0.31496062000000002"/>
  <pageSetup paperSize="119" orientation="portrait"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1"/>
  <sheetViews>
    <sheetView zoomScale="63" zoomScaleNormal="63" workbookViewId="0">
      <pane ySplit="1" topLeftCell="A2" activePane="bottomLeft" state="frozen"/>
      <selection pane="bottomLeft" activeCell="A44" sqref="A44"/>
    </sheetView>
  </sheetViews>
  <sheetFormatPr defaultRowHeight="15" x14ac:dyDescent="0.25"/>
  <cols>
    <col min="1" max="1" width="27.7109375" style="1" customWidth="1"/>
    <col min="2" max="2" width="25" style="1" customWidth="1"/>
    <col min="3" max="3" width="40.85546875" style="1" customWidth="1"/>
    <col min="4" max="5" width="22.28515625" customWidth="1"/>
    <col min="6" max="6" width="21.28515625" customWidth="1"/>
    <col min="7" max="7" width="21.140625" customWidth="1"/>
    <col min="8" max="11" width="17.85546875" hidden="1" customWidth="1"/>
    <col min="12" max="23" width="17.85546875" customWidth="1"/>
    <col min="24" max="27" width="17.85546875" hidden="1" customWidth="1"/>
    <col min="28" max="35" width="17.85546875" customWidth="1"/>
    <col min="36" max="37" width="15.5703125" style="40" customWidth="1"/>
    <col min="38" max="38" width="24.7109375" style="40" customWidth="1"/>
    <col min="39" max="39" width="11.5703125" style="40" customWidth="1"/>
    <col min="40" max="40" width="22.140625" style="40" bestFit="1" customWidth="1"/>
  </cols>
  <sheetData>
    <row r="1" spans="1:41" s="3" customFormat="1" ht="213" customHeight="1" thickBot="1" x14ac:dyDescent="0.3">
      <c r="A1" s="6" t="s">
        <v>12</v>
      </c>
      <c r="B1" s="7" t="s">
        <v>0</v>
      </c>
      <c r="C1" s="2" t="s">
        <v>364</v>
      </c>
      <c r="D1" s="2" t="s">
        <v>343</v>
      </c>
      <c r="E1" s="2" t="s">
        <v>344</v>
      </c>
      <c r="F1" s="2" t="s">
        <v>345</v>
      </c>
      <c r="G1" s="2" t="s">
        <v>346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351</v>
      </c>
      <c r="Q1" s="2" t="s">
        <v>352</v>
      </c>
      <c r="R1" s="2" t="s">
        <v>353</v>
      </c>
      <c r="S1" s="2" t="s">
        <v>354</v>
      </c>
      <c r="T1" s="2" t="s">
        <v>355</v>
      </c>
      <c r="U1" s="2" t="s">
        <v>356</v>
      </c>
      <c r="V1" s="2" t="s">
        <v>357</v>
      </c>
      <c r="W1" s="2" t="s">
        <v>358</v>
      </c>
      <c r="X1" s="2" t="s">
        <v>76</v>
      </c>
      <c r="Y1" s="2" t="s">
        <v>77</v>
      </c>
      <c r="Z1" s="2" t="s">
        <v>78</v>
      </c>
      <c r="AA1" s="2" t="s">
        <v>79</v>
      </c>
      <c r="AB1" s="2" t="s">
        <v>1</v>
      </c>
      <c r="AC1" s="2" t="s">
        <v>2</v>
      </c>
      <c r="AD1" s="2" t="s">
        <v>10</v>
      </c>
      <c r="AE1" s="2" t="s">
        <v>11</v>
      </c>
      <c r="AF1" s="2" t="s">
        <v>80</v>
      </c>
      <c r="AG1" s="2" t="s">
        <v>81</v>
      </c>
      <c r="AH1" s="2" t="s">
        <v>82</v>
      </c>
      <c r="AI1" s="2" t="s">
        <v>83</v>
      </c>
      <c r="AJ1" s="37" t="s">
        <v>15</v>
      </c>
      <c r="AK1" s="37" t="s">
        <v>16</v>
      </c>
      <c r="AL1" s="38" t="s">
        <v>359</v>
      </c>
      <c r="AM1" s="37" t="s">
        <v>3</v>
      </c>
      <c r="AN1" s="37" t="s">
        <v>4</v>
      </c>
    </row>
    <row r="2" spans="1:41" s="15" customFormat="1" ht="60" x14ac:dyDescent="0.25">
      <c r="A2" s="11" t="s">
        <v>14</v>
      </c>
      <c r="B2" s="12" t="s">
        <v>13</v>
      </c>
      <c r="C2" s="16" t="s">
        <v>22</v>
      </c>
      <c r="D2" s="14">
        <f>46042024+107131+476160</f>
        <v>46625315</v>
      </c>
      <c r="E2" s="14">
        <f>43906640+71165+216217</f>
        <v>44194022</v>
      </c>
      <c r="F2" s="14">
        <f>66864317+95318+78623</f>
        <v>67038258</v>
      </c>
      <c r="G2" s="14">
        <f>76886926+110834</f>
        <v>76997760</v>
      </c>
      <c r="H2" s="14">
        <v>104891</v>
      </c>
      <c r="I2" s="14">
        <v>70268</v>
      </c>
      <c r="J2" s="14">
        <v>89473</v>
      </c>
      <c r="K2" s="14">
        <v>0</v>
      </c>
      <c r="L2" s="14">
        <v>7548802</v>
      </c>
      <c r="M2" s="14">
        <v>9207179</v>
      </c>
      <c r="N2" s="14">
        <v>30863197</v>
      </c>
      <c r="O2" s="14">
        <v>16843924</v>
      </c>
      <c r="P2" s="14"/>
      <c r="Q2" s="14"/>
      <c r="R2" s="14"/>
      <c r="S2" s="14"/>
      <c r="T2" s="14"/>
      <c r="U2" s="14"/>
      <c r="V2" s="14"/>
      <c r="W2" s="14"/>
      <c r="X2" s="14">
        <v>3483175</v>
      </c>
      <c r="Y2" s="14">
        <v>3287949</v>
      </c>
      <c r="Z2" s="14">
        <v>3370759</v>
      </c>
      <c r="AA2" s="14">
        <v>5395572</v>
      </c>
      <c r="AB2" s="14"/>
      <c r="AC2" s="14"/>
      <c r="AD2" s="14"/>
      <c r="AE2" s="14"/>
      <c r="AF2" s="14"/>
      <c r="AG2" s="14"/>
      <c r="AH2" s="14"/>
      <c r="AI2" s="14"/>
      <c r="AJ2" s="44">
        <v>1975</v>
      </c>
      <c r="AK2" s="44">
        <f t="shared" ref="AK2:AK38" si="0">2021-AJ2</f>
        <v>46</v>
      </c>
      <c r="AL2" s="44">
        <v>1</v>
      </c>
      <c r="AM2" s="44">
        <v>1</v>
      </c>
      <c r="AN2" s="44" t="s">
        <v>17</v>
      </c>
      <c r="AO2" s="79"/>
    </row>
    <row r="3" spans="1:41" s="15" customFormat="1" ht="45" x14ac:dyDescent="0.25">
      <c r="A3" s="11" t="s">
        <v>29</v>
      </c>
      <c r="B3" s="12" t="s">
        <v>28</v>
      </c>
      <c r="C3" s="16" t="s">
        <v>319</v>
      </c>
      <c r="D3" s="14">
        <f>621054.58+436319.5</f>
        <v>1057374.08</v>
      </c>
      <c r="E3" s="14">
        <v>1617713.15</v>
      </c>
      <c r="F3" s="14">
        <v>2004589.11</v>
      </c>
      <c r="G3" s="14">
        <v>1779549.14</v>
      </c>
      <c r="H3" s="14">
        <v>0</v>
      </c>
      <c r="I3" s="14">
        <f>29315.91-27787.85</f>
        <v>1528.0600000000013</v>
      </c>
      <c r="J3" s="14">
        <f>33994.92-20084.19</f>
        <v>13910.73</v>
      </c>
      <c r="K3" s="14">
        <v>0</v>
      </c>
      <c r="L3" s="14">
        <v>0</v>
      </c>
      <c r="M3" s="14">
        <v>0</v>
      </c>
      <c r="N3" s="14">
        <v>0</v>
      </c>
      <c r="O3" s="14">
        <v>3172.61</v>
      </c>
      <c r="P3" s="14">
        <v>621054.57999999996</v>
      </c>
      <c r="Q3" s="14">
        <v>685706.49</v>
      </c>
      <c r="R3" s="14">
        <v>994030.11</v>
      </c>
      <c r="S3" s="14">
        <v>698220.46</v>
      </c>
      <c r="T3" s="14">
        <v>436319.5</v>
      </c>
      <c r="U3" s="14">
        <v>932006.66</v>
      </c>
      <c r="V3" s="14">
        <v>1010558.92</v>
      </c>
      <c r="W3" s="14">
        <v>1081328.68</v>
      </c>
      <c r="X3" s="14"/>
      <c r="Y3" s="14"/>
      <c r="Z3" s="14"/>
      <c r="AA3" s="14"/>
      <c r="AB3" s="14">
        <v>966009.99</v>
      </c>
      <c r="AC3" s="14">
        <v>1230538.08</v>
      </c>
      <c r="AD3" s="14">
        <v>1833568.08</v>
      </c>
      <c r="AE3" s="14">
        <v>2179503.94</v>
      </c>
      <c r="AF3" s="14">
        <v>425253.64</v>
      </c>
      <c r="AG3" s="14">
        <v>747228.06</v>
      </c>
      <c r="AH3" s="14">
        <v>796839.52</v>
      </c>
      <c r="AI3" s="14">
        <v>767007.3</v>
      </c>
      <c r="AJ3" s="39">
        <v>2005</v>
      </c>
      <c r="AK3" s="39">
        <f t="shared" si="0"/>
        <v>16</v>
      </c>
      <c r="AL3" s="39">
        <v>2</v>
      </c>
      <c r="AM3" s="39">
        <v>1</v>
      </c>
      <c r="AN3" s="39" t="s">
        <v>30</v>
      </c>
    </row>
    <row r="4" spans="1:41" s="15" customFormat="1" ht="57.6" customHeight="1" x14ac:dyDescent="0.25">
      <c r="A4" s="11" t="s">
        <v>32</v>
      </c>
      <c r="B4" s="12" t="s">
        <v>31</v>
      </c>
      <c r="C4" s="16" t="s">
        <v>321</v>
      </c>
      <c r="D4" s="14">
        <f>2205415+78618</f>
        <v>2284033</v>
      </c>
      <c r="E4" s="14">
        <f>3020478+56416+31437</f>
        <v>3108331</v>
      </c>
      <c r="F4" s="14">
        <f>3884059+51621+13781</f>
        <v>3949461</v>
      </c>
      <c r="G4" s="14">
        <v>10243000</v>
      </c>
      <c r="H4" s="14">
        <v>58661</v>
      </c>
      <c r="I4" s="14">
        <v>32835</v>
      </c>
      <c r="J4" s="14">
        <v>34984</v>
      </c>
      <c r="K4" s="14" t="s">
        <v>115</v>
      </c>
      <c r="L4" s="14" t="s">
        <v>115</v>
      </c>
      <c r="M4" s="14">
        <v>22620</v>
      </c>
      <c r="N4" s="14">
        <v>19024</v>
      </c>
      <c r="O4" s="14" t="s">
        <v>115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>
        <v>7058506</v>
      </c>
      <c r="AC4" s="14">
        <v>13790119</v>
      </c>
      <c r="AD4" s="14">
        <v>13361210</v>
      </c>
      <c r="AE4" s="14" t="s">
        <v>115</v>
      </c>
      <c r="AF4" s="14">
        <v>85079</v>
      </c>
      <c r="AG4" s="14">
        <v>74074</v>
      </c>
      <c r="AH4" s="14">
        <v>80142</v>
      </c>
      <c r="AI4" s="14" t="s">
        <v>115</v>
      </c>
      <c r="AJ4" s="44">
        <v>2008</v>
      </c>
      <c r="AK4" s="44">
        <f t="shared" si="0"/>
        <v>13</v>
      </c>
      <c r="AL4" s="44">
        <v>5</v>
      </c>
      <c r="AM4" s="44">
        <v>1</v>
      </c>
      <c r="AN4" s="44" t="s">
        <v>5</v>
      </c>
    </row>
    <row r="5" spans="1:41" s="15" customFormat="1" ht="60" x14ac:dyDescent="0.25">
      <c r="A5" s="11" t="s">
        <v>41</v>
      </c>
      <c r="B5" s="12" t="s">
        <v>40</v>
      </c>
      <c r="C5" s="16" t="s">
        <v>324</v>
      </c>
      <c r="D5" s="14">
        <v>1094376.68</v>
      </c>
      <c r="E5" s="14">
        <f>674635.04+107168.51+105192.17</f>
        <v>886995.72000000009</v>
      </c>
      <c r="F5" s="14">
        <v>1145744.24</v>
      </c>
      <c r="G5" s="14">
        <v>1123478.67</v>
      </c>
      <c r="H5" s="14">
        <f>18112.46-10129.46</f>
        <v>7983</v>
      </c>
      <c r="I5" s="14">
        <f>6997.05-6318.9</f>
        <v>678.15000000000055</v>
      </c>
      <c r="J5" s="14">
        <f>14863.68-6085.02</f>
        <v>8778.66</v>
      </c>
      <c r="K5" s="14">
        <f>8123.55-4602.38</f>
        <v>3521.17</v>
      </c>
      <c r="L5" s="14">
        <v>12742.71</v>
      </c>
      <c r="M5" s="14">
        <v>20505</v>
      </c>
      <c r="N5" s="14">
        <v>11973.21</v>
      </c>
      <c r="O5" s="14">
        <v>13990.69</v>
      </c>
      <c r="P5" s="14">
        <v>179103.7</v>
      </c>
      <c r="Q5" s="14">
        <v>105192.17</v>
      </c>
      <c r="R5" s="14">
        <v>136624.01999999999</v>
      </c>
      <c r="S5" s="14">
        <v>142047.41</v>
      </c>
      <c r="T5" s="14">
        <f>D5-P5</f>
        <v>915272.98</v>
      </c>
      <c r="U5" s="14">
        <f>E5-Q5</f>
        <v>781803.55</v>
      </c>
      <c r="V5" s="14">
        <f>F5-R5</f>
        <v>1009120.22</v>
      </c>
      <c r="W5" s="14">
        <f>G5-S5</f>
        <v>981431.25999999989</v>
      </c>
      <c r="X5" s="14"/>
      <c r="Y5" s="14"/>
      <c r="Z5" s="14"/>
      <c r="AA5" s="14"/>
      <c r="AB5" s="14">
        <v>990902.94</v>
      </c>
      <c r="AC5" s="14">
        <v>972577.91</v>
      </c>
      <c r="AD5" s="14">
        <v>1127449.3</v>
      </c>
      <c r="AE5" s="14">
        <v>1241601.77</v>
      </c>
      <c r="AF5" s="14">
        <v>518711.84</v>
      </c>
      <c r="AG5" s="14">
        <f>798217.05-266665.3</f>
        <v>531551.75</v>
      </c>
      <c r="AH5" s="14">
        <v>496531.27</v>
      </c>
      <c r="AI5" s="14">
        <v>459938.38</v>
      </c>
      <c r="AJ5" s="39">
        <v>1999</v>
      </c>
      <c r="AK5" s="39">
        <f t="shared" si="0"/>
        <v>22</v>
      </c>
      <c r="AL5" s="39">
        <v>3</v>
      </c>
      <c r="AM5" s="39">
        <v>1</v>
      </c>
      <c r="AN5" s="39" t="s">
        <v>42</v>
      </c>
    </row>
    <row r="6" spans="1:41" s="15" customFormat="1" ht="45" x14ac:dyDescent="0.25">
      <c r="A6" s="11" t="s">
        <v>44</v>
      </c>
      <c r="B6" s="12" t="s">
        <v>43</v>
      </c>
      <c r="C6" s="16" t="s">
        <v>45</v>
      </c>
      <c r="D6" s="14">
        <f>33484805+1961551</f>
        <v>35446356</v>
      </c>
      <c r="E6" s="14">
        <f>35598840+1223638</f>
        <v>36822478</v>
      </c>
      <c r="F6" s="14">
        <v>40897745.600000001</v>
      </c>
      <c r="G6" s="14">
        <v>34555422.799999997</v>
      </c>
      <c r="H6" s="14">
        <f>1961551-151975</f>
        <v>1809576</v>
      </c>
      <c r="I6" s="14">
        <f>1223638-115689</f>
        <v>1107949</v>
      </c>
      <c r="J6" s="14">
        <f>1151418.75-286358.66-32476.97</f>
        <v>832583.12000000011</v>
      </c>
      <c r="K6" s="14">
        <f>628062.65-59450.59-135265.83</f>
        <v>433346.2300000001</v>
      </c>
      <c r="L6" s="14">
        <v>0</v>
      </c>
      <c r="M6" s="14">
        <v>0</v>
      </c>
      <c r="N6" s="14">
        <v>56000</v>
      </c>
      <c r="O6" s="14"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>
        <v>25742478</v>
      </c>
      <c r="AC6" s="14">
        <v>24861895</v>
      </c>
      <c r="AD6" s="14">
        <v>26319288.920000002</v>
      </c>
      <c r="AE6" s="14">
        <v>28487910.510000002</v>
      </c>
      <c r="AF6" s="14">
        <v>1319622</v>
      </c>
      <c r="AG6" s="14">
        <v>1686515</v>
      </c>
      <c r="AH6" s="14">
        <v>2101366.13</v>
      </c>
      <c r="AI6" s="14">
        <v>2481878.4</v>
      </c>
      <c r="AJ6" s="39">
        <v>2002</v>
      </c>
      <c r="AK6" s="39">
        <f t="shared" si="0"/>
        <v>19</v>
      </c>
      <c r="AL6" s="39">
        <v>1</v>
      </c>
      <c r="AM6" s="39">
        <v>1</v>
      </c>
      <c r="AN6" s="39" t="s">
        <v>17</v>
      </c>
    </row>
    <row r="7" spans="1:41" s="15" customFormat="1" ht="45" x14ac:dyDescent="0.25">
      <c r="A7" s="11" t="s">
        <v>55</v>
      </c>
      <c r="B7" s="12" t="s">
        <v>54</v>
      </c>
      <c r="C7" s="16" t="s">
        <v>56</v>
      </c>
      <c r="D7" s="14">
        <f>2482666</f>
        <v>2482666</v>
      </c>
      <c r="E7" s="14">
        <v>3428377</v>
      </c>
      <c r="F7" s="14">
        <f>3284348+13617</f>
        <v>3297965</v>
      </c>
      <c r="G7" s="14">
        <v>2210088</v>
      </c>
      <c r="H7" s="14">
        <v>0</v>
      </c>
      <c r="I7" s="14">
        <v>0</v>
      </c>
      <c r="J7" s="14">
        <v>13617</v>
      </c>
      <c r="K7" s="14">
        <v>0</v>
      </c>
      <c r="L7" s="14">
        <v>251688</v>
      </c>
      <c r="M7" s="14">
        <v>425674</v>
      </c>
      <c r="N7" s="14">
        <v>310782</v>
      </c>
      <c r="O7" s="14">
        <v>121827</v>
      </c>
      <c r="P7" s="14">
        <v>251688</v>
      </c>
      <c r="Q7" s="14">
        <v>425674</v>
      </c>
      <c r="R7" s="14">
        <v>310782</v>
      </c>
      <c r="S7" s="14">
        <v>121827</v>
      </c>
      <c r="T7" s="14">
        <v>2482666</v>
      </c>
      <c r="U7" s="14">
        <v>3002703</v>
      </c>
      <c r="V7" s="14">
        <v>2973566</v>
      </c>
      <c r="W7" s="14">
        <v>2088261</v>
      </c>
      <c r="X7" s="14"/>
      <c r="Y7" s="14"/>
      <c r="Z7" s="14"/>
      <c r="AA7" s="14"/>
      <c r="AB7" s="14">
        <v>1084387</v>
      </c>
      <c r="AC7" s="14">
        <v>1126759</v>
      </c>
      <c r="AD7" s="14">
        <v>1475355</v>
      </c>
      <c r="AE7" s="14">
        <v>1531605</v>
      </c>
      <c r="AF7" s="14">
        <v>180174</v>
      </c>
      <c r="AG7" s="14">
        <v>153003</v>
      </c>
      <c r="AH7" s="14">
        <v>170506</v>
      </c>
      <c r="AI7" s="14">
        <v>257854</v>
      </c>
      <c r="AJ7" s="39">
        <v>2006</v>
      </c>
      <c r="AK7" s="39">
        <f t="shared" si="0"/>
        <v>15</v>
      </c>
      <c r="AL7" s="39">
        <v>3</v>
      </c>
      <c r="AM7" s="39">
        <v>1</v>
      </c>
      <c r="AN7" s="39" t="s">
        <v>5</v>
      </c>
    </row>
    <row r="8" spans="1:41" s="15" customFormat="1" ht="30" x14ac:dyDescent="0.25">
      <c r="A8" s="11" t="s">
        <v>58</v>
      </c>
      <c r="B8" s="12" t="s">
        <v>57</v>
      </c>
      <c r="C8" s="16" t="s">
        <v>332</v>
      </c>
      <c r="D8" s="14">
        <f>2630977+386966+217603</f>
        <v>3235546</v>
      </c>
      <c r="E8" s="14">
        <f>2765477+251158</f>
        <v>3016635</v>
      </c>
      <c r="F8" s="14">
        <f>3726950+189617</f>
        <v>3916567</v>
      </c>
      <c r="G8" s="14">
        <f>2782826+191686</f>
        <v>2974512</v>
      </c>
      <c r="H8" s="14">
        <v>386966</v>
      </c>
      <c r="I8" s="14">
        <v>251158</v>
      </c>
      <c r="J8" s="14">
        <v>189617</v>
      </c>
      <c r="K8" s="14">
        <v>191686</v>
      </c>
      <c r="L8" s="14">
        <v>741711</v>
      </c>
      <c r="M8" s="14">
        <v>605611</v>
      </c>
      <c r="N8" s="14">
        <v>734461</v>
      </c>
      <c r="O8" s="14">
        <v>636054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4332199</v>
      </c>
      <c r="AC8" s="14">
        <v>5051142</v>
      </c>
      <c r="AD8" s="14">
        <v>4932697</v>
      </c>
      <c r="AE8" s="14">
        <v>5755113</v>
      </c>
      <c r="AF8" s="14">
        <f>46964+21361+3108723</f>
        <v>3177048</v>
      </c>
      <c r="AG8" s="14">
        <f>183606+17062+3305006</f>
        <v>3505674</v>
      </c>
      <c r="AH8" s="14">
        <v>3664712</v>
      </c>
      <c r="AI8" s="14">
        <v>3828175</v>
      </c>
      <c r="AJ8" s="39">
        <v>1997</v>
      </c>
      <c r="AK8" s="39">
        <f t="shared" si="0"/>
        <v>24</v>
      </c>
      <c r="AL8" s="39">
        <v>1</v>
      </c>
      <c r="AM8" s="39">
        <v>1</v>
      </c>
      <c r="AN8" s="39" t="s">
        <v>30</v>
      </c>
    </row>
    <row r="9" spans="1:41" s="15" customFormat="1" ht="75" x14ac:dyDescent="0.25">
      <c r="A9" s="11" t="s">
        <v>64</v>
      </c>
      <c r="B9" s="12" t="s">
        <v>63</v>
      </c>
      <c r="C9" s="16" t="s">
        <v>65</v>
      </c>
      <c r="D9" s="14">
        <f>4051081.48+4129841.43</f>
        <v>8180922.9100000001</v>
      </c>
      <c r="E9" s="14">
        <f>3187272.36+4717783.8</f>
        <v>7905056.1600000001</v>
      </c>
      <c r="F9" s="14">
        <v>9265069.7699999996</v>
      </c>
      <c r="G9" s="14">
        <v>8623485.0299999993</v>
      </c>
      <c r="H9" s="14">
        <f>265845.71-4891.03</f>
        <v>260954.68000000002</v>
      </c>
      <c r="I9" s="14">
        <f>142850.86-0</f>
        <v>142850.85999999999</v>
      </c>
      <c r="J9" s="14">
        <f>103717.95-4309.63</f>
        <v>99408.319999999992</v>
      </c>
      <c r="K9" s="14">
        <v>40209.660000000003</v>
      </c>
      <c r="L9" s="14">
        <f>807115.5+19932.82</f>
        <v>827048.32</v>
      </c>
      <c r="M9" s="14">
        <f>476625+476625</f>
        <v>953250</v>
      </c>
      <c r="N9" s="14">
        <f>457787.5+457787.5</f>
        <v>915575</v>
      </c>
      <c r="O9" s="14">
        <f>177663.75+177663.75</f>
        <v>355327.5</v>
      </c>
      <c r="P9" s="14">
        <v>4051081.48</v>
      </c>
      <c r="Q9" s="14">
        <v>3187272.36</v>
      </c>
      <c r="R9" s="14">
        <v>4949750.96</v>
      </c>
      <c r="S9" s="14">
        <v>3774057.79</v>
      </c>
      <c r="T9" s="14">
        <f>4129841.43-265845.71</f>
        <v>3863995.72</v>
      </c>
      <c r="U9" s="14">
        <f>4717783.8-142850.86</f>
        <v>4574932.9399999995</v>
      </c>
      <c r="V9" s="14">
        <f>4315318.81-103717.95</f>
        <v>4211600.8599999994</v>
      </c>
      <c r="W9" s="14">
        <f>4849427.24-40209.66</f>
        <v>4809217.58</v>
      </c>
      <c r="X9" s="14"/>
      <c r="Y9" s="14"/>
      <c r="Z9" s="14"/>
      <c r="AA9" s="14"/>
      <c r="AB9" s="14">
        <v>28933671.170000002</v>
      </c>
      <c r="AC9" s="14">
        <v>94437931.5</v>
      </c>
      <c r="AD9" s="14">
        <v>90723120.760000005</v>
      </c>
      <c r="AE9" s="14">
        <v>83114416.650000006</v>
      </c>
      <c r="AF9" s="14">
        <v>6073380.54</v>
      </c>
      <c r="AG9" s="14">
        <v>90761915.109999999</v>
      </c>
      <c r="AH9" s="14">
        <v>87894270.909999996</v>
      </c>
      <c r="AI9" s="14">
        <v>79687267.290000007</v>
      </c>
      <c r="AJ9" s="39">
        <v>1773</v>
      </c>
      <c r="AK9" s="39">
        <f t="shared" si="0"/>
        <v>248</v>
      </c>
      <c r="AL9" s="39">
        <v>1</v>
      </c>
      <c r="AM9" s="39">
        <v>1</v>
      </c>
      <c r="AN9" s="39" t="s">
        <v>66</v>
      </c>
    </row>
    <row r="10" spans="1:41" ht="30" x14ac:dyDescent="0.25">
      <c r="A10" s="4" t="s">
        <v>87</v>
      </c>
      <c r="B10" s="17" t="s">
        <v>84</v>
      </c>
      <c r="C10" s="8" t="s">
        <v>85</v>
      </c>
      <c r="D10" s="5">
        <v>13841000</v>
      </c>
      <c r="E10" s="5">
        <v>11888000</v>
      </c>
      <c r="F10" s="5">
        <v>10298000</v>
      </c>
      <c r="G10" s="5">
        <v>6578000</v>
      </c>
      <c r="H10" s="5">
        <v>1094000</v>
      </c>
      <c r="I10" s="5">
        <v>607000</v>
      </c>
      <c r="J10" s="5">
        <v>509000</v>
      </c>
      <c r="K10" s="5">
        <v>199000</v>
      </c>
      <c r="L10" s="5">
        <v>23000</v>
      </c>
      <c r="M10" s="5">
        <v>23000</v>
      </c>
      <c r="N10" s="5">
        <v>28000</v>
      </c>
      <c r="O10" s="5">
        <v>28000</v>
      </c>
      <c r="P10" s="5"/>
      <c r="Q10" s="5"/>
      <c r="R10" s="5"/>
      <c r="S10" s="5"/>
      <c r="T10" s="5"/>
      <c r="U10" s="5"/>
      <c r="V10" s="5"/>
      <c r="W10" s="5"/>
      <c r="X10" s="5">
        <f>1500000+570000</f>
        <v>2070000</v>
      </c>
      <c r="Y10" s="5">
        <f>1530000+610000</f>
        <v>2140000</v>
      </c>
      <c r="Z10" s="5">
        <f>870000+505000</f>
        <v>1375000</v>
      </c>
      <c r="AA10" s="5">
        <f>509000+132000</f>
        <v>641000</v>
      </c>
      <c r="AB10" s="5">
        <v>16397000</v>
      </c>
      <c r="AC10" s="5">
        <v>14728000</v>
      </c>
      <c r="AD10" s="5">
        <v>13406000</v>
      </c>
      <c r="AE10" s="5">
        <v>11611000</v>
      </c>
      <c r="AF10" s="5">
        <f>713000+612000</f>
        <v>1325000</v>
      </c>
      <c r="AG10" s="5">
        <f>652000-612000</f>
        <v>40000</v>
      </c>
      <c r="AH10" s="5">
        <f>658000-629000</f>
        <v>29000</v>
      </c>
      <c r="AI10" s="5">
        <f>676000-638000</f>
        <v>38000</v>
      </c>
      <c r="AJ10" s="39">
        <v>1994</v>
      </c>
      <c r="AK10" s="39">
        <f t="shared" si="0"/>
        <v>27</v>
      </c>
      <c r="AL10" s="39">
        <v>1</v>
      </c>
      <c r="AM10" s="39">
        <v>1</v>
      </c>
      <c r="AN10" s="39" t="s">
        <v>35</v>
      </c>
    </row>
    <row r="11" spans="1:41" ht="45" x14ac:dyDescent="0.25">
      <c r="A11" s="4" t="s">
        <v>88</v>
      </c>
      <c r="B11" s="17" t="s">
        <v>86</v>
      </c>
      <c r="C11" s="8" t="s">
        <v>89</v>
      </c>
      <c r="D11" s="5">
        <f>1390299</f>
        <v>1390299</v>
      </c>
      <c r="E11" s="5">
        <v>2612363</v>
      </c>
      <c r="F11" s="5">
        <v>3392407</v>
      </c>
      <c r="G11" s="5">
        <v>3873235</v>
      </c>
      <c r="H11" s="5">
        <f>690742-7130</f>
        <v>683612</v>
      </c>
      <c r="I11" s="5">
        <f>642620-15283</f>
        <v>627337</v>
      </c>
      <c r="J11" s="5">
        <f>533157-8002</f>
        <v>525155</v>
      </c>
      <c r="K11" s="5">
        <f>429082-8747</f>
        <v>420335</v>
      </c>
      <c r="L11" s="5">
        <v>56963</v>
      </c>
      <c r="M11" s="5">
        <v>75978</v>
      </c>
      <c r="N11" s="5">
        <v>239554</v>
      </c>
      <c r="O11" s="5">
        <v>69610</v>
      </c>
      <c r="P11" s="5">
        <v>62650</v>
      </c>
      <c r="Q11" s="5">
        <v>590860</v>
      </c>
      <c r="R11" s="5">
        <v>1619734</v>
      </c>
      <c r="S11" s="5">
        <v>1254068</v>
      </c>
      <c r="T11" s="5">
        <f>1390299-62650</f>
        <v>1327649</v>
      </c>
      <c r="U11" s="5">
        <f>2612363-590860</f>
        <v>2021503</v>
      </c>
      <c r="V11" s="5">
        <f>3392407-1619734</f>
        <v>1772673</v>
      </c>
      <c r="W11" s="5">
        <f>3873235-1254068</f>
        <v>2619167</v>
      </c>
      <c r="X11" s="5"/>
      <c r="Y11" s="5"/>
      <c r="Z11" s="5"/>
      <c r="AA11" s="5"/>
      <c r="AB11" s="5">
        <v>8514279</v>
      </c>
      <c r="AC11" s="5">
        <v>9738896</v>
      </c>
      <c r="AD11" s="5">
        <v>9445471</v>
      </c>
      <c r="AE11" s="5">
        <v>8677433</v>
      </c>
      <c r="AF11" s="5">
        <v>1485662</v>
      </c>
      <c r="AG11" s="5">
        <v>1489628</v>
      </c>
      <c r="AH11" s="5">
        <v>1442031</v>
      </c>
      <c r="AI11" s="5">
        <v>1287638</v>
      </c>
      <c r="AJ11" s="39">
        <v>1995</v>
      </c>
      <c r="AK11" s="39">
        <f t="shared" si="0"/>
        <v>26</v>
      </c>
      <c r="AL11" s="39">
        <v>1</v>
      </c>
      <c r="AM11" s="39">
        <v>1</v>
      </c>
      <c r="AN11" s="39" t="s">
        <v>5</v>
      </c>
    </row>
    <row r="12" spans="1:41" ht="45" x14ac:dyDescent="0.25">
      <c r="A12" s="4" t="s">
        <v>97</v>
      </c>
      <c r="B12" s="17" t="s">
        <v>96</v>
      </c>
      <c r="C12" s="8" t="s">
        <v>98</v>
      </c>
      <c r="D12" s="5">
        <f>1550977.24+76666.5</f>
        <v>1627643.74</v>
      </c>
      <c r="E12" s="5">
        <f>1341289.13+53868.51+22646.42</f>
        <v>1417804.0599999998</v>
      </c>
      <c r="F12" s="5">
        <f>1609609.92+628.75+17051.3</f>
        <v>1627289.97</v>
      </c>
      <c r="G12" s="5">
        <f>2412160.69+54822.77</f>
        <v>2466983.46</v>
      </c>
      <c r="H12" s="5">
        <v>76666.5</v>
      </c>
      <c r="I12" s="5">
        <v>53868.51</v>
      </c>
      <c r="J12" s="5">
        <v>17051.3</v>
      </c>
      <c r="K12" s="5">
        <v>0</v>
      </c>
      <c r="L12" s="5">
        <v>0</v>
      </c>
      <c r="M12" s="5">
        <v>91100</v>
      </c>
      <c r="N12" s="5">
        <v>27300</v>
      </c>
      <c r="O12" s="5">
        <v>107220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41" t="s">
        <v>115</v>
      </c>
      <c r="AC12" s="5">
        <v>3491741.35</v>
      </c>
      <c r="AD12" s="5">
        <v>4164387.23</v>
      </c>
      <c r="AE12" s="5">
        <v>3940163.2</v>
      </c>
      <c r="AF12" s="41" t="s">
        <v>115</v>
      </c>
      <c r="AG12" s="5">
        <v>59946.42</v>
      </c>
      <c r="AH12" s="5">
        <v>23824.13</v>
      </c>
      <c r="AI12" s="5">
        <v>15967.97</v>
      </c>
      <c r="AJ12" s="39">
        <v>2014</v>
      </c>
      <c r="AK12" s="39">
        <f t="shared" si="0"/>
        <v>7</v>
      </c>
      <c r="AL12" s="39">
        <v>7</v>
      </c>
      <c r="AM12" s="39">
        <v>1</v>
      </c>
      <c r="AN12" s="39" t="s">
        <v>5</v>
      </c>
    </row>
    <row r="13" spans="1:41" ht="45" x14ac:dyDescent="0.25">
      <c r="A13" s="4" t="s">
        <v>100</v>
      </c>
      <c r="B13" s="17" t="s">
        <v>99</v>
      </c>
      <c r="C13" s="8" t="s">
        <v>101</v>
      </c>
      <c r="D13" s="5">
        <f>3624644+166956</f>
        <v>3791600</v>
      </c>
      <c r="E13" s="5">
        <f>3424434+159390</f>
        <v>3583824</v>
      </c>
      <c r="F13" s="5">
        <f>3640553+196048</f>
        <v>3836601</v>
      </c>
      <c r="G13" s="5">
        <f>4341115+89299</f>
        <v>4430414</v>
      </c>
      <c r="H13" s="5">
        <v>166956</v>
      </c>
      <c r="I13" s="5">
        <v>159390</v>
      </c>
      <c r="J13" s="5">
        <v>196048</v>
      </c>
      <c r="K13" s="5">
        <v>89299</v>
      </c>
      <c r="L13" s="5">
        <v>64000</v>
      </c>
      <c r="M13" s="5">
        <v>79500</v>
      </c>
      <c r="N13" s="5">
        <v>50615</v>
      </c>
      <c r="O13" s="5">
        <v>61445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>
        <f>2281180</f>
        <v>2281180</v>
      </c>
      <c r="AC13" s="5">
        <v>3101471</v>
      </c>
      <c r="AD13" s="5">
        <v>3860813</v>
      </c>
      <c r="AE13" s="5">
        <v>5428807</v>
      </c>
      <c r="AF13" s="5">
        <v>13409</v>
      </c>
      <c r="AG13" s="5">
        <v>27583</v>
      </c>
      <c r="AH13" s="5">
        <v>43858</v>
      </c>
      <c r="AI13" s="5">
        <v>135255</v>
      </c>
      <c r="AJ13" s="39">
        <v>1999</v>
      </c>
      <c r="AK13" s="39">
        <f t="shared" si="0"/>
        <v>22</v>
      </c>
      <c r="AL13" s="39">
        <v>7</v>
      </c>
      <c r="AM13" s="39">
        <v>1</v>
      </c>
      <c r="AN13" s="39" t="s">
        <v>5</v>
      </c>
    </row>
    <row r="14" spans="1:41" s="15" customFormat="1" ht="60" x14ac:dyDescent="0.25">
      <c r="A14" s="11" t="s">
        <v>103</v>
      </c>
      <c r="B14" s="12" t="s">
        <v>102</v>
      </c>
      <c r="C14" s="16" t="s">
        <v>338</v>
      </c>
      <c r="D14" s="14">
        <f>1118979.92+745482.08+16112.85+86888.14+176160+250591.07+2297.8+153871.46</f>
        <v>2550383.3199999998</v>
      </c>
      <c r="E14" s="14">
        <f>1290285.12+111422.88</f>
        <v>1401708</v>
      </c>
      <c r="F14" s="14">
        <f>1308553.7+97985.84</f>
        <v>1406539.54</v>
      </c>
      <c r="G14" s="14">
        <f>2768053.92</f>
        <v>2768053.92</v>
      </c>
      <c r="H14" s="14">
        <f>153871.46-2407.86</f>
        <v>151463.6</v>
      </c>
      <c r="I14" s="14">
        <f>111422.88-2111.16</f>
        <v>109311.72</v>
      </c>
      <c r="J14" s="14">
        <f>97985.84-2318.25</f>
        <v>95667.59</v>
      </c>
      <c r="K14" s="14">
        <f>66720.9-3288.73</f>
        <v>63432.169999999991</v>
      </c>
      <c r="L14" s="14">
        <v>176160</v>
      </c>
      <c r="M14" s="14">
        <v>213520</v>
      </c>
      <c r="N14" s="14">
        <v>213520</v>
      </c>
      <c r="O14" s="14">
        <v>238720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v>1699222.77</v>
      </c>
      <c r="AC14" s="14">
        <v>1774230.66</v>
      </c>
      <c r="AD14" s="14">
        <v>1818045.82</v>
      </c>
      <c r="AE14" s="14">
        <v>2481857.59</v>
      </c>
      <c r="AF14" s="14">
        <v>32078.01</v>
      </c>
      <c r="AG14" s="14">
        <v>31994.639999999999</v>
      </c>
      <c r="AH14" s="14">
        <v>28672.71</v>
      </c>
      <c r="AI14" s="14">
        <v>29881.02</v>
      </c>
      <c r="AJ14" s="44">
        <v>2010</v>
      </c>
      <c r="AK14" s="44">
        <f t="shared" si="0"/>
        <v>11</v>
      </c>
      <c r="AL14" s="44">
        <v>1</v>
      </c>
      <c r="AM14" s="44">
        <v>1</v>
      </c>
      <c r="AN14" s="44" t="s">
        <v>66</v>
      </c>
    </row>
    <row r="15" spans="1:41" s="15" customFormat="1" ht="60" x14ac:dyDescent="0.25">
      <c r="A15" s="11" t="s">
        <v>123</v>
      </c>
      <c r="B15" s="12" t="s">
        <v>122</v>
      </c>
      <c r="C15" s="16" t="s">
        <v>339</v>
      </c>
      <c r="D15" s="14">
        <f>2993790+19052+5372</f>
        <v>3018214</v>
      </c>
      <c r="E15" s="14">
        <f>2201996+2217925-19357</f>
        <v>4400564</v>
      </c>
      <c r="F15" s="14">
        <f>2439078+3262437-18267</f>
        <v>5683248</v>
      </c>
      <c r="G15" s="14">
        <f>4915519.27+732411.04+8797.5-6420.6</f>
        <v>5650307.21</v>
      </c>
      <c r="H15" s="14">
        <v>19052</v>
      </c>
      <c r="I15" s="14">
        <v>0</v>
      </c>
      <c r="J15" s="14">
        <v>0</v>
      </c>
      <c r="K15" s="14">
        <f>8797.5-6420.6</f>
        <v>2376.8999999999996</v>
      </c>
      <c r="L15" s="41" t="s">
        <v>115</v>
      </c>
      <c r="M15" s="14">
        <v>140000</v>
      </c>
      <c r="N15" s="14">
        <v>511530</v>
      </c>
      <c r="O15" s="14">
        <v>153040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>
        <v>1205864</v>
      </c>
      <c r="AC15" s="14">
        <v>2178770</v>
      </c>
      <c r="AD15" s="14">
        <v>6068343</v>
      </c>
      <c r="AE15" s="14">
        <v>1903704.54</v>
      </c>
      <c r="AF15" s="14">
        <v>14862</v>
      </c>
      <c r="AG15" s="14">
        <v>11934</v>
      </c>
      <c r="AH15" s="14">
        <v>1217034</v>
      </c>
      <c r="AI15" s="14">
        <v>1224414.78</v>
      </c>
      <c r="AJ15" s="39">
        <v>2000</v>
      </c>
      <c r="AK15" s="39">
        <f t="shared" si="0"/>
        <v>21</v>
      </c>
      <c r="AL15" s="39">
        <v>7</v>
      </c>
      <c r="AM15" s="39">
        <v>1</v>
      </c>
      <c r="AN15" s="39" t="s">
        <v>124</v>
      </c>
    </row>
    <row r="16" spans="1:41" ht="75" x14ac:dyDescent="0.25">
      <c r="A16" s="4" t="s">
        <v>129</v>
      </c>
      <c r="B16" s="17" t="s">
        <v>128</v>
      </c>
      <c r="C16" s="8" t="s">
        <v>130</v>
      </c>
      <c r="D16" s="5">
        <f>15440419</f>
        <v>15440419</v>
      </c>
      <c r="E16" s="5">
        <v>11499186</v>
      </c>
      <c r="F16" s="5">
        <f>22381630</f>
        <v>22381630</v>
      </c>
      <c r="G16" s="5">
        <v>17781156</v>
      </c>
      <c r="H16" s="5">
        <v>0</v>
      </c>
      <c r="I16" s="5">
        <v>0</v>
      </c>
      <c r="J16" s="5">
        <v>0</v>
      </c>
      <c r="K16" s="5">
        <v>0</v>
      </c>
      <c r="L16" s="5">
        <v>2422660</v>
      </c>
      <c r="M16" s="5">
        <v>2260366</v>
      </c>
      <c r="N16" s="5">
        <v>2864833</v>
      </c>
      <c r="O16" s="5">
        <v>740899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17459058</v>
      </c>
      <c r="AC16" s="5">
        <v>18218077</v>
      </c>
      <c r="AD16" s="5">
        <v>18514241</v>
      </c>
      <c r="AE16" s="5">
        <v>18819748</v>
      </c>
      <c r="AF16" s="5">
        <f>10804717+1028</f>
        <v>10805745</v>
      </c>
      <c r="AG16" s="5">
        <f>10770783+1028</f>
        <v>10771811</v>
      </c>
      <c r="AH16" s="5">
        <f>13733755-3548882+11552-4103</f>
        <v>10192322</v>
      </c>
      <c r="AI16" s="5">
        <f>15858421-4052079+11552-5487</f>
        <v>11812407</v>
      </c>
      <c r="AJ16" s="39">
        <v>1991</v>
      </c>
      <c r="AK16" s="39">
        <f t="shared" si="0"/>
        <v>30</v>
      </c>
      <c r="AL16" s="39">
        <v>3</v>
      </c>
      <c r="AM16" s="39">
        <v>1</v>
      </c>
      <c r="AN16" s="39" t="s">
        <v>30</v>
      </c>
    </row>
    <row r="17" spans="1:40" ht="45.6" customHeight="1" x14ac:dyDescent="0.25">
      <c r="A17" s="4" t="s">
        <v>132</v>
      </c>
      <c r="B17" s="17" t="s">
        <v>131</v>
      </c>
      <c r="C17" s="8" t="s">
        <v>133</v>
      </c>
      <c r="D17" s="5">
        <f>782764+17580</f>
        <v>800344</v>
      </c>
      <c r="E17" s="5">
        <f>2487075+24370</f>
        <v>2511445</v>
      </c>
      <c r="F17" s="5">
        <f>2712921</f>
        <v>2712921</v>
      </c>
      <c r="G17" s="5">
        <f>2767348+973</f>
        <v>2768321</v>
      </c>
      <c r="H17" s="5">
        <v>0</v>
      </c>
      <c r="I17" s="5">
        <v>0</v>
      </c>
      <c r="J17" s="5">
        <v>0</v>
      </c>
      <c r="K17" s="5">
        <v>973</v>
      </c>
      <c r="L17" s="5">
        <v>135918</v>
      </c>
      <c r="M17" s="5">
        <v>116279</v>
      </c>
      <c r="N17" s="5">
        <v>119411</v>
      </c>
      <c r="O17" s="5">
        <v>104453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>
        <v>298226</v>
      </c>
      <c r="AC17" s="5">
        <v>1291070</v>
      </c>
      <c r="AD17" s="5">
        <v>1851040</v>
      </c>
      <c r="AE17" s="5">
        <v>7957042</v>
      </c>
      <c r="AF17" s="5">
        <v>154518</v>
      </c>
      <c r="AG17" s="5">
        <v>275910</v>
      </c>
      <c r="AH17" s="5">
        <v>255454</v>
      </c>
      <c r="AI17" s="5">
        <v>218491</v>
      </c>
      <c r="AJ17" s="39">
        <v>2003</v>
      </c>
      <c r="AK17" s="39">
        <f t="shared" si="0"/>
        <v>18</v>
      </c>
      <c r="AL17" s="39">
        <v>7</v>
      </c>
      <c r="AM17" s="39">
        <v>1</v>
      </c>
      <c r="AN17" s="39" t="s">
        <v>134</v>
      </c>
    </row>
    <row r="18" spans="1:40" ht="45" x14ac:dyDescent="0.25">
      <c r="A18" s="4" t="s">
        <v>137</v>
      </c>
      <c r="B18" s="17" t="s">
        <v>135</v>
      </c>
      <c r="C18" s="8" t="s">
        <v>138</v>
      </c>
      <c r="D18" s="5">
        <f>10246000+1461000</f>
        <v>11707000</v>
      </c>
      <c r="E18" s="5">
        <f>12797000+3128000</f>
        <v>15925000</v>
      </c>
      <c r="F18" s="5">
        <f>17238000+847000</f>
        <v>18085000</v>
      </c>
      <c r="G18" s="5">
        <f>19299000+2703000</f>
        <v>22002000</v>
      </c>
      <c r="H18" s="5">
        <v>1461000</v>
      </c>
      <c r="I18" s="5">
        <v>3128000</v>
      </c>
      <c r="J18" s="5">
        <v>847000</v>
      </c>
      <c r="K18" s="5">
        <v>2703000</v>
      </c>
      <c r="L18" s="41" t="s">
        <v>115</v>
      </c>
      <c r="M18" s="41" t="s">
        <v>115</v>
      </c>
      <c r="N18" s="41" t="s">
        <v>115</v>
      </c>
      <c r="O18" s="5">
        <v>254000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>
        <v>50325000</v>
      </c>
      <c r="AC18" s="5">
        <v>91455000</v>
      </c>
      <c r="AD18" s="5">
        <v>28195000</v>
      </c>
      <c r="AE18" s="5">
        <v>32695000</v>
      </c>
      <c r="AF18" s="5">
        <v>18335000</v>
      </c>
      <c r="AG18" s="5">
        <v>19945000</v>
      </c>
      <c r="AH18" s="5">
        <v>28195000</v>
      </c>
      <c r="AI18" s="5">
        <v>32695000</v>
      </c>
      <c r="AJ18" s="39">
        <v>1992</v>
      </c>
      <c r="AK18" s="39">
        <f t="shared" si="0"/>
        <v>29</v>
      </c>
      <c r="AL18" s="39">
        <v>4</v>
      </c>
      <c r="AM18" s="39">
        <v>1</v>
      </c>
      <c r="AN18" s="39" t="s">
        <v>136</v>
      </c>
    </row>
    <row r="19" spans="1:40" ht="75" x14ac:dyDescent="0.25">
      <c r="A19" s="4" t="s">
        <v>143</v>
      </c>
      <c r="B19" s="17" t="s">
        <v>142</v>
      </c>
      <c r="C19" s="8" t="s">
        <v>149</v>
      </c>
      <c r="D19" s="5">
        <f>11086201+10219936+780414+500254+288442</f>
        <v>22875247</v>
      </c>
      <c r="E19" s="5">
        <f>13681497+10970251+1063292+342851+129441+17849</f>
        <v>26205181</v>
      </c>
      <c r="F19" s="5">
        <f>13106199+11267675+114307+1495046+143679+24528+53655</f>
        <v>26205089</v>
      </c>
      <c r="G19" s="5">
        <f>13070202+9100115+304101+1318070+64445+19776</f>
        <v>23876709</v>
      </c>
      <c r="H19" s="5">
        <v>0</v>
      </c>
      <c r="I19" s="5">
        <v>0</v>
      </c>
      <c r="J19" s="5">
        <v>0</v>
      </c>
      <c r="K19" s="5">
        <v>0</v>
      </c>
      <c r="L19" s="41" t="s">
        <v>115</v>
      </c>
      <c r="M19" s="5">
        <v>17849</v>
      </c>
      <c r="N19" s="5">
        <v>24528</v>
      </c>
      <c r="O19" s="5">
        <v>19776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>
        <v>32332976</v>
      </c>
      <c r="AC19" s="5">
        <v>31617108</v>
      </c>
      <c r="AD19" s="5">
        <v>30605466</v>
      </c>
      <c r="AE19" s="5">
        <v>39574878</v>
      </c>
      <c r="AF19" s="5">
        <f>3786956+85074</f>
        <v>3872030</v>
      </c>
      <c r="AG19" s="5">
        <f>3591033+94811</f>
        <v>3685844</v>
      </c>
      <c r="AH19" s="5">
        <f>3450057+82050</f>
        <v>3532107</v>
      </c>
      <c r="AI19" s="5">
        <f>3144773+67257</f>
        <v>3212030</v>
      </c>
      <c r="AJ19" s="39">
        <v>1995</v>
      </c>
      <c r="AK19" s="39">
        <f t="shared" si="0"/>
        <v>26</v>
      </c>
      <c r="AL19" s="39">
        <v>4</v>
      </c>
      <c r="AM19" s="39">
        <v>1</v>
      </c>
      <c r="AN19" s="39" t="s">
        <v>144</v>
      </c>
    </row>
    <row r="20" spans="1:40" ht="60" x14ac:dyDescent="0.25">
      <c r="A20" s="4" t="s">
        <v>156</v>
      </c>
      <c r="B20" s="17" t="s">
        <v>155</v>
      </c>
      <c r="C20" s="8" t="s">
        <v>158</v>
      </c>
      <c r="D20" s="5">
        <f>1960401+118062</f>
        <v>2078463</v>
      </c>
      <c r="E20" s="5">
        <f>1737661+33059</f>
        <v>1770720</v>
      </c>
      <c r="F20" s="5">
        <f>2496370+25773</f>
        <v>2522143</v>
      </c>
      <c r="G20" s="5">
        <f>2470555+17036</f>
        <v>2487591</v>
      </c>
      <c r="H20" s="5">
        <v>118062</v>
      </c>
      <c r="I20" s="5">
        <v>33059</v>
      </c>
      <c r="J20" s="5">
        <v>25773</v>
      </c>
      <c r="K20" s="5">
        <v>17036</v>
      </c>
      <c r="L20" s="5">
        <v>171352</v>
      </c>
      <c r="M20" s="5">
        <v>65741</v>
      </c>
      <c r="N20" s="5">
        <v>40829</v>
      </c>
      <c r="O20" s="5">
        <v>4115</v>
      </c>
      <c r="P20" s="5">
        <v>854516</v>
      </c>
      <c r="Q20" s="5">
        <v>547328</v>
      </c>
      <c r="R20" s="5">
        <v>1121591</v>
      </c>
      <c r="S20" s="5">
        <v>833899</v>
      </c>
      <c r="T20" s="5">
        <v>1105885</v>
      </c>
      <c r="U20" s="5">
        <v>1190333</v>
      </c>
      <c r="V20" s="5">
        <v>1374779</v>
      </c>
      <c r="W20" s="5">
        <v>1636656</v>
      </c>
      <c r="X20" s="5"/>
      <c r="Y20" s="5"/>
      <c r="Z20" s="5"/>
      <c r="AA20" s="5"/>
      <c r="AB20" s="5">
        <v>1543028</v>
      </c>
      <c r="AC20" s="5">
        <v>1464980</v>
      </c>
      <c r="AD20" s="5">
        <v>1623450</v>
      </c>
      <c r="AE20" s="5">
        <v>1806777</v>
      </c>
      <c r="AF20" s="5">
        <v>186195</v>
      </c>
      <c r="AG20" s="5">
        <v>155547</v>
      </c>
      <c r="AH20" s="5">
        <v>141706</v>
      </c>
      <c r="AI20" s="5">
        <v>132296</v>
      </c>
      <c r="AJ20" s="39">
        <v>2011</v>
      </c>
      <c r="AK20" s="39">
        <f t="shared" si="0"/>
        <v>10</v>
      </c>
      <c r="AL20" s="39">
        <v>1</v>
      </c>
      <c r="AM20" s="39">
        <v>1</v>
      </c>
      <c r="AN20" s="39" t="s">
        <v>5</v>
      </c>
    </row>
    <row r="21" spans="1:40" ht="60" x14ac:dyDescent="0.25">
      <c r="A21" s="4" t="s">
        <v>168</v>
      </c>
      <c r="B21" s="17" t="s">
        <v>167</v>
      </c>
      <c r="C21" s="8" t="s">
        <v>170</v>
      </c>
      <c r="D21" s="5">
        <f>51878659.07</f>
        <v>51878659.07</v>
      </c>
      <c r="E21" s="5">
        <f>50313064.34</f>
        <v>50313064.340000004</v>
      </c>
      <c r="F21" s="5">
        <f>50583475.96+1225837.86</f>
        <v>51809313.82</v>
      </c>
      <c r="G21" s="5">
        <f>30977688.03+246534.73</f>
        <v>31224222.760000002</v>
      </c>
      <c r="H21" s="5">
        <f>11464.44+3695431.84-182789.71</f>
        <v>3524106.57</v>
      </c>
      <c r="I21" s="5">
        <f>24002.23+1805846.72-121246.78</f>
        <v>1708602.17</v>
      </c>
      <c r="J21" s="5">
        <v>1225837.8600000001</v>
      </c>
      <c r="K21" s="5">
        <v>246534.73</v>
      </c>
      <c r="L21" s="5">
        <v>80804.33</v>
      </c>
      <c r="M21" s="5">
        <v>96026.240000000005</v>
      </c>
      <c r="N21" s="5">
        <v>101802.92</v>
      </c>
      <c r="O21" s="5">
        <v>61198.75</v>
      </c>
      <c r="P21" s="5">
        <v>6202852.2800000003</v>
      </c>
      <c r="Q21" s="5">
        <v>6555081.9400000004</v>
      </c>
      <c r="R21" s="5">
        <v>6488885.0099999998</v>
      </c>
      <c r="S21" s="5">
        <v>6253222.4000000004</v>
      </c>
      <c r="T21" s="5">
        <f>45675806.79</f>
        <v>45675806.789999999</v>
      </c>
      <c r="U21" s="5">
        <f>43757982.4</f>
        <v>43757982.399999999</v>
      </c>
      <c r="V21" s="5">
        <f>559530.96+39142298.24+4290958.83+101802.92+1225837.86</f>
        <v>45320428.810000002</v>
      </c>
      <c r="W21" s="5">
        <f>404550.14+24258716.74+61198.75+246534.73</f>
        <v>24971000.359999999</v>
      </c>
      <c r="X21" s="5"/>
      <c r="Y21" s="5"/>
      <c r="Z21" s="5"/>
      <c r="AA21" s="5"/>
      <c r="AB21" s="5">
        <v>61712079.020000003</v>
      </c>
      <c r="AC21" s="5">
        <v>62740589.740000002</v>
      </c>
      <c r="AD21" s="5">
        <v>61437584.619999997</v>
      </c>
      <c r="AE21" s="5">
        <v>73167950.989999995</v>
      </c>
      <c r="AF21" s="5">
        <f>27464424.88+84647.48</f>
        <v>27549072.359999999</v>
      </c>
      <c r="AG21" s="5">
        <f>26969908.99+78332.68</f>
        <v>27048241.669999998</v>
      </c>
      <c r="AH21" s="5">
        <v>28288496.41</v>
      </c>
      <c r="AI21" s="5">
        <v>52286217.950000003</v>
      </c>
      <c r="AJ21" s="39">
        <v>1963</v>
      </c>
      <c r="AK21" s="39">
        <f t="shared" si="0"/>
        <v>58</v>
      </c>
      <c r="AL21" s="39">
        <v>1</v>
      </c>
      <c r="AM21" s="39">
        <v>1</v>
      </c>
      <c r="AN21" s="39" t="s">
        <v>171</v>
      </c>
    </row>
    <row r="22" spans="1:40" s="15" customFormat="1" ht="45" x14ac:dyDescent="0.25">
      <c r="A22" s="11" t="s">
        <v>173</v>
      </c>
      <c r="B22" s="12" t="s">
        <v>172</v>
      </c>
      <c r="C22" s="16" t="s">
        <v>174</v>
      </c>
      <c r="D22" s="14">
        <f>2384666.74</f>
        <v>2384666.7400000002</v>
      </c>
      <c r="E22" s="14">
        <f>2853935.17</f>
        <v>2853935.17</v>
      </c>
      <c r="F22" s="14">
        <f>2711865.89</f>
        <v>2711865.89</v>
      </c>
      <c r="G22" s="14">
        <v>2105440.29</v>
      </c>
      <c r="H22" s="14">
        <f>85673.99-11974.92</f>
        <v>73699.070000000007</v>
      </c>
      <c r="I22" s="14">
        <f>52526.98-11365.54</f>
        <v>41161.440000000002</v>
      </c>
      <c r="J22" s="14">
        <f>59530.35-10527.52</f>
        <v>49002.83</v>
      </c>
      <c r="K22" s="14">
        <f>28065.29-12216.05</f>
        <v>15849.240000000002</v>
      </c>
      <c r="L22" s="14">
        <v>111409.76</v>
      </c>
      <c r="M22" s="14">
        <v>102155.87</v>
      </c>
      <c r="N22" s="14">
        <v>65752.210000000006</v>
      </c>
      <c r="O22" s="14">
        <v>70437.119999999995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>
        <v>4489670.6900000004</v>
      </c>
      <c r="AC22" s="14">
        <v>4905298.12</v>
      </c>
      <c r="AD22" s="14">
        <v>4947306.8099999996</v>
      </c>
      <c r="AE22" s="14">
        <v>4722202.92</v>
      </c>
      <c r="AF22" s="14">
        <v>2276331.75</v>
      </c>
      <c r="AG22" s="14">
        <v>2157654.31</v>
      </c>
      <c r="AH22" s="14">
        <v>2078850.7</v>
      </c>
      <c r="AI22" s="14">
        <v>2000333.6</v>
      </c>
      <c r="AJ22" s="44">
        <v>1992</v>
      </c>
      <c r="AK22" s="44">
        <f t="shared" si="0"/>
        <v>29</v>
      </c>
      <c r="AL22" s="44">
        <v>1</v>
      </c>
      <c r="AM22" s="44">
        <v>1</v>
      </c>
      <c r="AN22" s="44" t="s">
        <v>171</v>
      </c>
    </row>
    <row r="23" spans="1:40" ht="45" x14ac:dyDescent="0.25">
      <c r="A23" s="4" t="s">
        <v>180</v>
      </c>
      <c r="B23" s="17" t="s">
        <v>178</v>
      </c>
      <c r="C23" s="8" t="s">
        <v>179</v>
      </c>
      <c r="D23" s="5">
        <f>80517582</f>
        <v>80517582</v>
      </c>
      <c r="E23" s="5">
        <f>84392183</f>
        <v>84392183</v>
      </c>
      <c r="F23" s="5">
        <f>87229546</f>
        <v>87229546</v>
      </c>
      <c r="G23" s="5">
        <f>89600590</f>
        <v>89600590</v>
      </c>
      <c r="H23" s="5">
        <v>0</v>
      </c>
      <c r="I23" s="5">
        <v>0</v>
      </c>
      <c r="J23" s="5">
        <v>0</v>
      </c>
      <c r="K23" s="5">
        <v>0</v>
      </c>
      <c r="L23" s="5">
        <v>39175</v>
      </c>
      <c r="M23" s="5">
        <v>48009</v>
      </c>
      <c r="N23" s="5">
        <v>49233</v>
      </c>
      <c r="O23" s="5">
        <v>14629</v>
      </c>
      <c r="P23" s="5">
        <v>4294875</v>
      </c>
      <c r="Q23" s="5">
        <v>6325483</v>
      </c>
      <c r="R23" s="5">
        <v>5431974</v>
      </c>
      <c r="S23" s="5">
        <v>7553021</v>
      </c>
      <c r="T23" s="5">
        <f>80517582-4294875</f>
        <v>76222707</v>
      </c>
      <c r="U23" s="5">
        <f>84392188-6325483</f>
        <v>78066705</v>
      </c>
      <c r="V23" s="5">
        <f>87229546-5431974</f>
        <v>81797572</v>
      </c>
      <c r="W23" s="5">
        <f>89600590-7553021</f>
        <v>82047569</v>
      </c>
      <c r="X23" s="5"/>
      <c r="Y23" s="5"/>
      <c r="Z23" s="5"/>
      <c r="AA23" s="5"/>
      <c r="AB23" s="5">
        <v>69918262</v>
      </c>
      <c r="AC23" s="5">
        <v>63791998</v>
      </c>
      <c r="AD23" s="5">
        <v>58523451</v>
      </c>
      <c r="AE23" s="5">
        <v>75394325</v>
      </c>
      <c r="AF23" s="5">
        <f>44893271-5000934</f>
        <v>39892337</v>
      </c>
      <c r="AG23" s="5">
        <f>41160577-36000</f>
        <v>41124577</v>
      </c>
      <c r="AH23" s="5">
        <f>41141520-31200</f>
        <v>41110320</v>
      </c>
      <c r="AI23" s="5">
        <f>51686720-10994988</f>
        <v>40691732</v>
      </c>
      <c r="AJ23" s="39">
        <v>1980</v>
      </c>
      <c r="AK23" s="39">
        <f t="shared" si="0"/>
        <v>41</v>
      </c>
      <c r="AL23" s="39">
        <v>3</v>
      </c>
      <c r="AM23" s="39">
        <v>1</v>
      </c>
      <c r="AN23" s="39" t="s">
        <v>181</v>
      </c>
    </row>
    <row r="24" spans="1:40" ht="60" x14ac:dyDescent="0.25">
      <c r="A24" s="4" t="s">
        <v>183</v>
      </c>
      <c r="B24" s="17" t="s">
        <v>182</v>
      </c>
      <c r="C24" s="8" t="s">
        <v>184</v>
      </c>
      <c r="D24" s="5">
        <f>6800487-17081</f>
        <v>6783406</v>
      </c>
      <c r="E24" s="5">
        <f>7582666-85718</f>
        <v>7496948</v>
      </c>
      <c r="F24" s="5">
        <f>9719827+84477</f>
        <v>9804304</v>
      </c>
      <c r="G24" s="5">
        <f>8372499+14613</f>
        <v>8387112</v>
      </c>
      <c r="H24" s="5">
        <f>25905-17081</f>
        <v>8824</v>
      </c>
      <c r="I24" s="5">
        <v>0</v>
      </c>
      <c r="J24" s="5">
        <v>84477</v>
      </c>
      <c r="K24" s="5">
        <v>14613</v>
      </c>
      <c r="L24" s="5">
        <v>305002</v>
      </c>
      <c r="M24" s="5">
        <v>318638</v>
      </c>
      <c r="N24" s="5">
        <v>287734</v>
      </c>
      <c r="O24" s="5">
        <v>272967</v>
      </c>
      <c r="P24" s="5">
        <f>5919564+83760+69884+305002+240000</f>
        <v>6618210</v>
      </c>
      <c r="Q24" s="5">
        <f>6650615+66013+318638+240000</f>
        <v>7275266</v>
      </c>
      <c r="R24" s="41" t="s">
        <v>115</v>
      </c>
      <c r="S24" s="41" t="s">
        <v>115</v>
      </c>
      <c r="T24" s="5">
        <f>156372+25905-17081</f>
        <v>165196</v>
      </c>
      <c r="U24" s="5">
        <f>287660+19740-85718</f>
        <v>221682</v>
      </c>
      <c r="V24" s="41" t="s">
        <v>115</v>
      </c>
      <c r="W24" s="41" t="s">
        <v>115</v>
      </c>
      <c r="X24" s="5"/>
      <c r="Y24" s="5"/>
      <c r="Z24" s="5"/>
      <c r="AA24" s="5"/>
      <c r="AB24" s="5">
        <v>1769924</v>
      </c>
      <c r="AC24" s="5">
        <v>1780868</v>
      </c>
      <c r="AD24" s="5">
        <v>1947135</v>
      </c>
      <c r="AE24" s="5">
        <v>4597123</v>
      </c>
      <c r="AF24" s="5">
        <f>135074+5787</f>
        <v>140861</v>
      </c>
      <c r="AG24" s="5">
        <f>193034+2450</f>
        <v>195484</v>
      </c>
      <c r="AH24" s="5">
        <f>580+3508</f>
        <v>4088</v>
      </c>
      <c r="AI24" s="5">
        <f>9864+1472+10834</f>
        <v>22170</v>
      </c>
      <c r="AJ24" s="39">
        <v>1997</v>
      </c>
      <c r="AK24" s="39">
        <f t="shared" si="0"/>
        <v>24</v>
      </c>
      <c r="AL24" s="39">
        <v>1</v>
      </c>
      <c r="AM24" s="39">
        <v>1</v>
      </c>
      <c r="AN24" s="39" t="s">
        <v>185</v>
      </c>
    </row>
    <row r="25" spans="1:40" ht="45" x14ac:dyDescent="0.25">
      <c r="A25" s="4" t="s">
        <v>187</v>
      </c>
      <c r="B25" s="17" t="s">
        <v>186</v>
      </c>
      <c r="C25" s="8" t="s">
        <v>188</v>
      </c>
      <c r="D25" s="5">
        <f>118664000+393000</f>
        <v>119057000</v>
      </c>
      <c r="E25" s="5">
        <f>138739000+699000</f>
        <v>139438000</v>
      </c>
      <c r="F25" s="5">
        <f>154762000+1261000</f>
        <v>156023000</v>
      </c>
      <c r="G25" s="5">
        <f>159706000+929000</f>
        <v>160635000</v>
      </c>
      <c r="H25" s="5">
        <v>393000</v>
      </c>
      <c r="I25" s="5">
        <v>699000</v>
      </c>
      <c r="J25" s="5">
        <v>1261000</v>
      </c>
      <c r="K25" s="5">
        <v>929000</v>
      </c>
      <c r="L25" s="5">
        <v>2120000</v>
      </c>
      <c r="M25" s="5">
        <v>2077000</v>
      </c>
      <c r="N25" s="5">
        <v>9150000</v>
      </c>
      <c r="O25" s="5">
        <v>1152000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>
        <v>125430000</v>
      </c>
      <c r="AC25" s="5">
        <v>139088000</v>
      </c>
      <c r="AD25" s="5">
        <v>154140000</v>
      </c>
      <c r="AE25" s="5">
        <v>172942000</v>
      </c>
      <c r="AF25" s="5">
        <v>71943000</v>
      </c>
      <c r="AG25" s="5">
        <v>71596000</v>
      </c>
      <c r="AH25" s="5">
        <f>78760000-151000</f>
        <v>78609000</v>
      </c>
      <c r="AI25" s="5">
        <f>73238000-111000</f>
        <v>73127000</v>
      </c>
      <c r="AJ25" s="39">
        <v>1991</v>
      </c>
      <c r="AK25" s="39">
        <f t="shared" si="0"/>
        <v>30</v>
      </c>
      <c r="AL25" s="39">
        <v>3</v>
      </c>
      <c r="AM25" s="39">
        <v>1</v>
      </c>
      <c r="AN25" s="39" t="s">
        <v>5</v>
      </c>
    </row>
    <row r="26" spans="1:40" ht="30" x14ac:dyDescent="0.25">
      <c r="A26" s="4" t="s">
        <v>190</v>
      </c>
      <c r="B26" s="17" t="s">
        <v>189</v>
      </c>
      <c r="C26" s="8" t="s">
        <v>191</v>
      </c>
      <c r="D26" s="5">
        <f>81282000+963000</f>
        <v>82245000</v>
      </c>
      <c r="E26" s="5">
        <f>49498000+174000</f>
        <v>49672000</v>
      </c>
      <c r="F26" s="5">
        <f>63008000+1756000</f>
        <v>64764000</v>
      </c>
      <c r="G26" s="5">
        <f>64413000</f>
        <v>64413000</v>
      </c>
      <c r="H26" s="5">
        <v>963000</v>
      </c>
      <c r="I26" s="5">
        <v>174000</v>
      </c>
      <c r="J26" s="5">
        <v>992000</v>
      </c>
      <c r="K26" s="5">
        <v>0</v>
      </c>
      <c r="L26" s="41" t="s">
        <v>115</v>
      </c>
      <c r="M26" s="41" t="s">
        <v>115</v>
      </c>
      <c r="N26" s="5">
        <v>212000</v>
      </c>
      <c r="O26" s="5">
        <v>171000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>
        <v>23089000</v>
      </c>
      <c r="AC26" s="5">
        <v>27838000</v>
      </c>
      <c r="AD26" s="5">
        <v>46712000</v>
      </c>
      <c r="AE26" s="5">
        <v>44153000</v>
      </c>
      <c r="AF26" s="5">
        <v>2062000</v>
      </c>
      <c r="AG26" s="5">
        <v>2737000</v>
      </c>
      <c r="AH26" s="5">
        <v>2628000</v>
      </c>
      <c r="AI26" s="5">
        <v>1845000</v>
      </c>
      <c r="AJ26" s="39">
        <v>1996</v>
      </c>
      <c r="AK26" s="39">
        <f t="shared" si="0"/>
        <v>25</v>
      </c>
      <c r="AL26" s="39">
        <v>4</v>
      </c>
      <c r="AM26" s="39">
        <v>1</v>
      </c>
      <c r="AN26" s="39" t="s">
        <v>192</v>
      </c>
    </row>
    <row r="27" spans="1:40" s="15" customFormat="1" ht="45" x14ac:dyDescent="0.25">
      <c r="A27" s="11" t="s">
        <v>197</v>
      </c>
      <c r="B27" s="12" t="s">
        <v>196</v>
      </c>
      <c r="C27" s="16" t="s">
        <v>198</v>
      </c>
      <c r="D27" s="14">
        <f>7309695+379981+2744902</f>
        <v>10434578</v>
      </c>
      <c r="E27" s="14">
        <f>9131200</f>
        <v>9131200</v>
      </c>
      <c r="F27" s="14">
        <f>10519166</f>
        <v>10519166</v>
      </c>
      <c r="G27" s="14">
        <v>10192469</v>
      </c>
      <c r="H27" s="14">
        <f>73745-24677</f>
        <v>49068</v>
      </c>
      <c r="I27" s="14">
        <f>54178-49697</f>
        <v>4481</v>
      </c>
      <c r="J27" s="14">
        <f>69676-33980</f>
        <v>35696</v>
      </c>
      <c r="K27" s="14">
        <v>0</v>
      </c>
      <c r="L27" s="14">
        <v>379981</v>
      </c>
      <c r="M27" s="14">
        <v>318380</v>
      </c>
      <c r="N27" s="14">
        <v>341980</v>
      </c>
      <c r="O27" s="14">
        <v>80021</v>
      </c>
      <c r="P27" s="14">
        <v>7689676</v>
      </c>
      <c r="Q27" s="14">
        <v>7039364</v>
      </c>
      <c r="R27" s="14">
        <v>7971142</v>
      </c>
      <c r="S27" s="14">
        <v>7245338</v>
      </c>
      <c r="T27" s="14">
        <f>2744902-24677</f>
        <v>2720225</v>
      </c>
      <c r="U27" s="14">
        <f>2091835--49697</f>
        <v>2141532</v>
      </c>
      <c r="V27" s="14">
        <f>2548025-33980</f>
        <v>2514045</v>
      </c>
      <c r="W27" s="14">
        <v>2947132</v>
      </c>
      <c r="X27" s="14"/>
      <c r="Y27" s="14"/>
      <c r="Z27" s="14"/>
      <c r="AA27" s="14"/>
      <c r="AB27" s="14">
        <v>12971479</v>
      </c>
      <c r="AC27" s="14">
        <v>12428688</v>
      </c>
      <c r="AD27" s="14">
        <v>17223240</v>
      </c>
      <c r="AE27" s="14">
        <v>23442436</v>
      </c>
      <c r="AF27" s="14">
        <f>4099031+22565</f>
        <v>4121596</v>
      </c>
      <c r="AG27" s="14">
        <f>3868485-21777</f>
        <v>3846708</v>
      </c>
      <c r="AH27" s="14">
        <f>5582240+12990</f>
        <v>5595230</v>
      </c>
      <c r="AI27" s="14">
        <f>5756394+12435</f>
        <v>5768829</v>
      </c>
      <c r="AJ27" s="44">
        <v>1998</v>
      </c>
      <c r="AK27" s="44">
        <f t="shared" si="0"/>
        <v>23</v>
      </c>
      <c r="AL27" s="44">
        <v>2</v>
      </c>
      <c r="AM27" s="44">
        <v>2</v>
      </c>
      <c r="AN27" s="44" t="s">
        <v>5</v>
      </c>
    </row>
    <row r="28" spans="1:40" s="15" customFormat="1" ht="45" x14ac:dyDescent="0.25">
      <c r="A28" s="11" t="s">
        <v>202</v>
      </c>
      <c r="B28" s="12" t="s">
        <v>201</v>
      </c>
      <c r="C28" s="16" t="s">
        <v>203</v>
      </c>
      <c r="D28" s="14">
        <f>18277336</f>
        <v>18277336</v>
      </c>
      <c r="E28" s="14">
        <f>17629526</f>
        <v>17629526</v>
      </c>
      <c r="F28" s="14">
        <f>26016396</f>
        <v>26016396</v>
      </c>
      <c r="G28" s="14">
        <f>46373460</f>
        <v>46373460</v>
      </c>
      <c r="H28" s="14">
        <v>0</v>
      </c>
      <c r="I28" s="14">
        <v>0</v>
      </c>
      <c r="J28" s="14">
        <v>0</v>
      </c>
      <c r="K28" s="14">
        <v>276470</v>
      </c>
      <c r="L28" s="14">
        <v>460072</v>
      </c>
      <c r="M28" s="14">
        <v>501861</v>
      </c>
      <c r="N28" s="14">
        <v>480574</v>
      </c>
      <c r="O28" s="14">
        <v>581700</v>
      </c>
      <c r="P28" s="14">
        <f>5499498</f>
        <v>5499498</v>
      </c>
      <c r="Q28" s="14">
        <v>5292921</v>
      </c>
      <c r="R28" s="14">
        <f>5278625</f>
        <v>5278625</v>
      </c>
      <c r="S28" s="14">
        <v>3531207</v>
      </c>
      <c r="T28" s="14">
        <f>12777838-172943</f>
        <v>12604895</v>
      </c>
      <c r="U28" s="14">
        <f>12336605-273664</f>
        <v>12062941</v>
      </c>
      <c r="V28" s="14">
        <f>20737771-61226</f>
        <v>20676545</v>
      </c>
      <c r="W28" s="14">
        <f>544841+42842253</f>
        <v>43387094</v>
      </c>
      <c r="X28" s="14"/>
      <c r="Y28" s="14"/>
      <c r="Z28" s="14"/>
      <c r="AA28" s="14"/>
      <c r="AB28" s="14">
        <v>9295334</v>
      </c>
      <c r="AC28" s="14">
        <v>12341290</v>
      </c>
      <c r="AD28" s="14">
        <v>18117949</v>
      </c>
      <c r="AE28" s="14">
        <v>43136492</v>
      </c>
      <c r="AF28" s="14">
        <v>3982720</v>
      </c>
      <c r="AG28" s="14">
        <v>3900203</v>
      </c>
      <c r="AH28" s="14">
        <f>3446915+376688+2910</f>
        <v>3826513</v>
      </c>
      <c r="AI28" s="14">
        <f>3635502+321210+29120</f>
        <v>3985832</v>
      </c>
      <c r="AJ28" s="44">
        <v>1946</v>
      </c>
      <c r="AK28" s="44">
        <f t="shared" si="0"/>
        <v>75</v>
      </c>
      <c r="AL28" s="44">
        <v>1</v>
      </c>
      <c r="AM28" s="44">
        <v>2</v>
      </c>
      <c r="AN28" s="44" t="s">
        <v>5</v>
      </c>
    </row>
    <row r="29" spans="1:40" ht="45" x14ac:dyDescent="0.25">
      <c r="A29" s="4" t="s">
        <v>205</v>
      </c>
      <c r="B29" s="17" t="s">
        <v>204</v>
      </c>
      <c r="C29" s="8" t="s">
        <v>206</v>
      </c>
      <c r="D29" s="5">
        <f>29225000+425000</f>
        <v>29650000</v>
      </c>
      <c r="E29" s="5">
        <f>30960000+32000+233000</f>
        <v>31225000</v>
      </c>
      <c r="F29" s="5">
        <f>30659000+85000+374000</f>
        <v>31118000</v>
      </c>
      <c r="G29" s="5">
        <f>28857000+112000+218000</f>
        <v>29187000</v>
      </c>
      <c r="H29" s="5">
        <v>425000</v>
      </c>
      <c r="I29" s="5">
        <v>233000</v>
      </c>
      <c r="J29" s="5">
        <v>374000</v>
      </c>
      <c r="K29" s="5">
        <v>218000</v>
      </c>
      <c r="L29" s="5">
        <v>2122000</v>
      </c>
      <c r="M29" s="5">
        <v>405000</v>
      </c>
      <c r="N29" s="5">
        <v>508000</v>
      </c>
      <c r="O29" s="5">
        <v>492000</v>
      </c>
      <c r="P29" s="5">
        <f>D29-5000000</f>
        <v>24650000</v>
      </c>
      <c r="Q29" s="5">
        <f>E29-3750000</f>
        <v>27475000</v>
      </c>
      <c r="R29" s="5">
        <f>F29-2500000-223000</f>
        <v>28395000</v>
      </c>
      <c r="S29" s="5">
        <f>G29-2250000</f>
        <v>26937000</v>
      </c>
      <c r="T29" s="5">
        <f>H29+5000000</f>
        <v>5425000</v>
      </c>
      <c r="U29" s="5">
        <f>I29+3750000</f>
        <v>3983000</v>
      </c>
      <c r="V29" s="5">
        <f>2500000+J29</f>
        <v>2874000</v>
      </c>
      <c r="W29" s="5">
        <f>2250000+K29</f>
        <v>2468000</v>
      </c>
      <c r="X29" s="5"/>
      <c r="Y29" s="5"/>
      <c r="Z29" s="5"/>
      <c r="AA29" s="5"/>
      <c r="AB29" s="5">
        <f>104025000</f>
        <v>104025000</v>
      </c>
      <c r="AC29" s="5">
        <v>106680000</v>
      </c>
      <c r="AD29" s="5">
        <v>101239000</v>
      </c>
      <c r="AE29" s="5">
        <v>98944000</v>
      </c>
      <c r="AF29" s="5">
        <v>6075000</v>
      </c>
      <c r="AG29" s="5">
        <v>7631000</v>
      </c>
      <c r="AH29" s="5">
        <v>7670000</v>
      </c>
      <c r="AI29" s="5">
        <v>7404000</v>
      </c>
      <c r="AJ29" s="39">
        <v>2008</v>
      </c>
      <c r="AK29" s="39">
        <f t="shared" si="0"/>
        <v>13</v>
      </c>
      <c r="AL29" s="39">
        <v>4</v>
      </c>
      <c r="AM29" s="39">
        <v>2</v>
      </c>
      <c r="AN29" s="39" t="s">
        <v>147</v>
      </c>
    </row>
    <row r="30" spans="1:40" ht="45" x14ac:dyDescent="0.25">
      <c r="A30" s="4" t="s">
        <v>208</v>
      </c>
      <c r="B30" s="17" t="s">
        <v>207</v>
      </c>
      <c r="C30" s="8" t="s">
        <v>209</v>
      </c>
      <c r="D30" s="5">
        <f>30397021</f>
        <v>30397021</v>
      </c>
      <c r="E30" s="5">
        <f>31881810</f>
        <v>31881810</v>
      </c>
      <c r="F30" s="5">
        <f>29045622</f>
        <v>29045622</v>
      </c>
      <c r="G30" s="5">
        <f>30813824</f>
        <v>30813824</v>
      </c>
      <c r="H30" s="5">
        <f>2288006-451698</f>
        <v>1836308</v>
      </c>
      <c r="I30" s="5">
        <f>1427552-468025</f>
        <v>959527</v>
      </c>
      <c r="J30" s="5">
        <f>1484383-501833</f>
        <v>982550</v>
      </c>
      <c r="K30" s="5">
        <f>677743-574260</f>
        <v>103483</v>
      </c>
      <c r="L30" s="5">
        <v>658743</v>
      </c>
      <c r="M30" s="5">
        <v>449270</v>
      </c>
      <c r="N30" s="5">
        <v>684038</v>
      </c>
      <c r="O30" s="5">
        <v>668591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>
        <v>43475338</v>
      </c>
      <c r="AC30" s="5">
        <v>46586058</v>
      </c>
      <c r="AD30" s="5">
        <v>49134176</v>
      </c>
      <c r="AE30" s="5">
        <v>57195177</v>
      </c>
      <c r="AF30" s="5">
        <f>304555+51002</f>
        <v>355557</v>
      </c>
      <c r="AG30" s="5">
        <f>232380+48948</f>
        <v>281328</v>
      </c>
      <c r="AH30" s="5">
        <v>199281</v>
      </c>
      <c r="AI30" s="5">
        <v>207785</v>
      </c>
      <c r="AJ30" s="39">
        <v>1990</v>
      </c>
      <c r="AK30" s="39">
        <f t="shared" si="0"/>
        <v>31</v>
      </c>
      <c r="AL30" s="39">
        <v>1</v>
      </c>
      <c r="AM30" s="39">
        <v>2</v>
      </c>
      <c r="AN30" s="39" t="s">
        <v>5</v>
      </c>
    </row>
    <row r="31" spans="1:40" ht="45" x14ac:dyDescent="0.25">
      <c r="A31" s="4" t="s">
        <v>217</v>
      </c>
      <c r="B31" s="17" t="s">
        <v>216</v>
      </c>
      <c r="C31" s="8" t="s">
        <v>209</v>
      </c>
      <c r="D31" s="5">
        <f>23631000+706000+84000+11000+111000+64000</f>
        <v>24607000</v>
      </c>
      <c r="E31" s="5">
        <f>23716000+723000+82000+34000+183000</f>
        <v>24738000</v>
      </c>
      <c r="F31" s="5">
        <f>26542000+824000+377000+67000+129000+1270000+14000</f>
        <v>29223000</v>
      </c>
      <c r="G31" s="5">
        <f>32750000+850000+677000+28000+114000</f>
        <v>34419000</v>
      </c>
      <c r="H31" s="5">
        <f>0</f>
        <v>0</v>
      </c>
      <c r="I31" s="5">
        <v>0</v>
      </c>
      <c r="J31" s="5">
        <v>0</v>
      </c>
      <c r="K31" s="5">
        <v>0</v>
      </c>
      <c r="L31" s="5">
        <v>36000</v>
      </c>
      <c r="M31" s="5">
        <v>50000</v>
      </c>
      <c r="N31" s="5">
        <v>39000</v>
      </c>
      <c r="O31" s="5">
        <v>18000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>
        <v>5664000</v>
      </c>
      <c r="AC31" s="5">
        <v>6284000</v>
      </c>
      <c r="AD31" s="5">
        <v>5765000</v>
      </c>
      <c r="AE31" s="5">
        <v>6241000</v>
      </c>
      <c r="AF31" s="5">
        <v>4313000</v>
      </c>
      <c r="AG31" s="5">
        <v>4095000</v>
      </c>
      <c r="AH31" s="5">
        <v>3957000</v>
      </c>
      <c r="AI31" s="5">
        <v>4649000</v>
      </c>
      <c r="AJ31" s="39">
        <v>1966</v>
      </c>
      <c r="AK31" s="39">
        <f t="shared" si="0"/>
        <v>55</v>
      </c>
      <c r="AL31" s="39">
        <v>1</v>
      </c>
      <c r="AM31" s="39">
        <v>1</v>
      </c>
      <c r="AN31" s="39" t="s">
        <v>17</v>
      </c>
    </row>
    <row r="32" spans="1:40" s="15" customFormat="1" ht="45" x14ac:dyDescent="0.25">
      <c r="A32" s="11" t="s">
        <v>233</v>
      </c>
      <c r="B32" s="12" t="s">
        <v>232</v>
      </c>
      <c r="C32" s="16" t="s">
        <v>234</v>
      </c>
      <c r="D32" s="14">
        <v>8957357.7899999991</v>
      </c>
      <c r="E32" s="14">
        <v>8380595.3200000003</v>
      </c>
      <c r="F32" s="14">
        <f>9234650.82-47895.71</f>
        <v>9186755.1099999994</v>
      </c>
      <c r="G32" s="14">
        <f>10746594.01-13970.64</f>
        <v>10732623.369999999</v>
      </c>
      <c r="H32" s="14">
        <v>0</v>
      </c>
      <c r="I32" s="14">
        <f>58603.18+40530.6</f>
        <v>99133.78</v>
      </c>
      <c r="J32" s="14">
        <f>0</f>
        <v>0</v>
      </c>
      <c r="K32" s="14">
        <f>20273.99-13970.64</f>
        <v>6303.3500000000022</v>
      </c>
      <c r="L32" s="14">
        <v>691580</v>
      </c>
      <c r="M32" s="14">
        <v>136290</v>
      </c>
      <c r="N32" s="14">
        <v>422415</v>
      </c>
      <c r="O32" s="14">
        <v>46955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>
        <v>6341772.8399999999</v>
      </c>
      <c r="AC32" s="14">
        <v>5539437.21</v>
      </c>
      <c r="AD32" s="14">
        <v>14791401.27</v>
      </c>
      <c r="AE32" s="14">
        <v>13494962.52</v>
      </c>
      <c r="AF32" s="14">
        <v>4428141.42</v>
      </c>
      <c r="AG32" s="14">
        <v>4299575.01</v>
      </c>
      <c r="AH32" s="14">
        <v>4055152.47</v>
      </c>
      <c r="AI32" s="14">
        <v>3808739.89</v>
      </c>
      <c r="AJ32" s="44">
        <v>1994</v>
      </c>
      <c r="AK32" s="44">
        <f t="shared" si="0"/>
        <v>27</v>
      </c>
      <c r="AL32" s="44">
        <v>1</v>
      </c>
      <c r="AM32" s="44">
        <v>1</v>
      </c>
      <c r="AN32" s="44" t="s">
        <v>5</v>
      </c>
    </row>
    <row r="33" spans="1:40" ht="30" x14ac:dyDescent="0.25">
      <c r="A33" s="4" t="s">
        <v>248</v>
      </c>
      <c r="B33" s="17" t="s">
        <v>247</v>
      </c>
      <c r="C33" s="8" t="s">
        <v>249</v>
      </c>
      <c r="D33" s="5">
        <f>1037171+750595+641230+7882+20662</f>
        <v>2457540</v>
      </c>
      <c r="E33" s="5">
        <f>2441803+745071+1368977+33869+44306</f>
        <v>4634026</v>
      </c>
      <c r="F33" s="5">
        <f>2310770+2271602+1296627+3026+147779</f>
        <v>6029804</v>
      </c>
      <c r="G33" s="5">
        <f>1666983+2592705+1113597+1716+50689</f>
        <v>5425690</v>
      </c>
      <c r="H33" s="5">
        <v>20662</v>
      </c>
      <c r="I33" s="5">
        <v>44306</v>
      </c>
      <c r="J33" s="5">
        <v>147779</v>
      </c>
      <c r="K33" s="5">
        <v>50689</v>
      </c>
      <c r="L33" s="5">
        <v>405862</v>
      </c>
      <c r="M33" s="5">
        <v>875010</v>
      </c>
      <c r="N33" s="5">
        <v>364570</v>
      </c>
      <c r="O33" s="5">
        <v>504617</v>
      </c>
      <c r="P33" s="5">
        <v>1037171</v>
      </c>
      <c r="Q33" s="5">
        <v>2441803</v>
      </c>
      <c r="R33" s="5">
        <v>2310770</v>
      </c>
      <c r="S33" s="5">
        <v>1666983</v>
      </c>
      <c r="T33" s="5">
        <f>750595+641230+7882+20662</f>
        <v>1420369</v>
      </c>
      <c r="U33" s="5">
        <f>745071+1368977+33869+44306</f>
        <v>2192223</v>
      </c>
      <c r="V33" s="5">
        <f>2271602+1296627+3026+147779</f>
        <v>3719034</v>
      </c>
      <c r="W33" s="5">
        <f>2592705+1113597+1716+50689</f>
        <v>3758707</v>
      </c>
      <c r="X33" s="5"/>
      <c r="Y33" s="5"/>
      <c r="Z33" s="5"/>
      <c r="AA33" s="5"/>
      <c r="AB33" s="5">
        <v>2915463</v>
      </c>
      <c r="AC33" s="5">
        <v>4202238</v>
      </c>
      <c r="AD33" s="5">
        <v>6245789</v>
      </c>
      <c r="AE33" s="5">
        <v>9145461</v>
      </c>
      <c r="AF33" s="5">
        <v>15129</v>
      </c>
      <c r="AG33" s="5">
        <v>32386</v>
      </c>
      <c r="AH33" s="5">
        <v>19244</v>
      </c>
      <c r="AI33" s="5">
        <v>30656</v>
      </c>
      <c r="AJ33" s="39">
        <v>2001</v>
      </c>
      <c r="AK33" s="39">
        <f t="shared" si="0"/>
        <v>20</v>
      </c>
      <c r="AL33" s="39">
        <v>2</v>
      </c>
      <c r="AM33" s="39">
        <v>1</v>
      </c>
      <c r="AN33" s="39" t="s">
        <v>5</v>
      </c>
    </row>
    <row r="34" spans="1:40" ht="45" x14ac:dyDescent="0.25">
      <c r="A34" s="4" t="s">
        <v>258</v>
      </c>
      <c r="B34" s="17" t="s">
        <v>257</v>
      </c>
      <c r="C34" s="8" t="s">
        <v>259</v>
      </c>
      <c r="D34" s="5">
        <v>11942958</v>
      </c>
      <c r="E34" s="5">
        <v>14266344</v>
      </c>
      <c r="F34" s="5">
        <v>16427062</v>
      </c>
      <c r="G34" s="5">
        <v>11685911</v>
      </c>
      <c r="H34" s="5">
        <v>698469</v>
      </c>
      <c r="I34" s="5">
        <v>521514</v>
      </c>
      <c r="J34" s="5">
        <v>465918</v>
      </c>
      <c r="K34" s="5">
        <v>332638</v>
      </c>
      <c r="L34" s="5">
        <v>37176</v>
      </c>
      <c r="M34" s="5">
        <v>633205</v>
      </c>
      <c r="N34" s="5">
        <v>533253</v>
      </c>
      <c r="O34" s="5">
        <v>115206</v>
      </c>
      <c r="P34" s="5">
        <v>6632229</v>
      </c>
      <c r="Q34" s="5">
        <v>7310497</v>
      </c>
      <c r="R34" s="5">
        <v>8611225</v>
      </c>
      <c r="S34" s="5">
        <v>3511117</v>
      </c>
      <c r="T34" s="5">
        <f>11942958-6632229</f>
        <v>5310729</v>
      </c>
      <c r="U34" s="5">
        <f>14266344-7310497</f>
        <v>6955847</v>
      </c>
      <c r="V34" s="5">
        <f>16427062-8611225</f>
        <v>7815837</v>
      </c>
      <c r="W34" s="5">
        <v>8174794</v>
      </c>
      <c r="X34" s="5"/>
      <c r="Y34" s="5"/>
      <c r="Z34" s="5"/>
      <c r="AA34" s="5"/>
      <c r="AB34" s="5">
        <v>27969087</v>
      </c>
      <c r="AC34" s="5">
        <v>30387820</v>
      </c>
      <c r="AD34" s="5">
        <v>30492956</v>
      </c>
      <c r="AE34" s="5">
        <v>33246002</v>
      </c>
      <c r="AF34" s="5">
        <f>27969087-18000356</f>
        <v>9968731</v>
      </c>
      <c r="AG34" s="5">
        <v>10211098</v>
      </c>
      <c r="AH34" s="5">
        <v>11927242</v>
      </c>
      <c r="AI34" s="5">
        <v>11374757</v>
      </c>
      <c r="AJ34" s="39">
        <v>1998</v>
      </c>
      <c r="AK34" s="39">
        <f t="shared" si="0"/>
        <v>23</v>
      </c>
      <c r="AL34" s="39">
        <v>3</v>
      </c>
      <c r="AM34" s="39">
        <v>1</v>
      </c>
      <c r="AN34" s="39" t="s">
        <v>5</v>
      </c>
    </row>
    <row r="35" spans="1:40" ht="45" x14ac:dyDescent="0.25">
      <c r="A35" s="4" t="s">
        <v>261</v>
      </c>
      <c r="B35" s="17" t="s">
        <v>260</v>
      </c>
      <c r="C35" s="8" t="s">
        <v>262</v>
      </c>
      <c r="D35" s="5">
        <f>10046091+27891+303242</f>
        <v>10377224</v>
      </c>
      <c r="E35" s="5">
        <f>10055370+10115+221252</f>
        <v>10286737</v>
      </c>
      <c r="F35" s="5">
        <f>9852209+293518+202675</f>
        <v>10348402</v>
      </c>
      <c r="G35" s="5">
        <f>8949978+52321+89636</f>
        <v>9091935</v>
      </c>
      <c r="H35" s="5">
        <f>303242-52198</f>
        <v>251044</v>
      </c>
      <c r="I35" s="5">
        <f>221252-33936</f>
        <v>187316</v>
      </c>
      <c r="J35" s="5">
        <f>202675-34675</f>
        <v>168000</v>
      </c>
      <c r="K35" s="5">
        <f>89636-34561</f>
        <v>55075</v>
      </c>
      <c r="L35" s="5">
        <v>510860</v>
      </c>
      <c r="M35" s="5">
        <v>527197</v>
      </c>
      <c r="N35" s="5">
        <v>569440</v>
      </c>
      <c r="O35" s="5">
        <v>604776</v>
      </c>
      <c r="P35" s="5">
        <v>2182052</v>
      </c>
      <c r="Q35" s="5">
        <v>1932655</v>
      </c>
      <c r="R35" s="5">
        <v>983000</v>
      </c>
      <c r="S35" s="5">
        <v>1247489</v>
      </c>
      <c r="T35" s="5">
        <f>7864039+27891+303242</f>
        <v>8195172</v>
      </c>
      <c r="U35" s="5">
        <f>8122715+10115+221252</f>
        <v>8354082</v>
      </c>
      <c r="V35" s="5">
        <f>8869209+293518+202675</f>
        <v>9365402</v>
      </c>
      <c r="W35" s="5">
        <f>7702489+52321+89636</f>
        <v>7844446</v>
      </c>
      <c r="X35" s="5"/>
      <c r="Y35" s="5"/>
      <c r="Z35" s="5"/>
      <c r="AA35" s="5"/>
      <c r="AB35" s="5">
        <v>20828285</v>
      </c>
      <c r="AC35" s="5">
        <v>17975368</v>
      </c>
      <c r="AD35" s="5">
        <v>17628349</v>
      </c>
      <c r="AE35" s="5">
        <v>13838990</v>
      </c>
      <c r="AF35" s="5">
        <v>11600530</v>
      </c>
      <c r="AG35" s="5">
        <v>11384435</v>
      </c>
      <c r="AH35" s="5">
        <v>11233116</v>
      </c>
      <c r="AI35" s="5">
        <v>7684933</v>
      </c>
      <c r="AJ35" s="39">
        <v>1964</v>
      </c>
      <c r="AK35" s="39">
        <f t="shared" si="0"/>
        <v>57</v>
      </c>
      <c r="AL35" s="39">
        <v>3</v>
      </c>
      <c r="AM35" s="39">
        <v>1</v>
      </c>
      <c r="AN35" s="39" t="s">
        <v>17</v>
      </c>
    </row>
    <row r="36" spans="1:40" s="15" customFormat="1" ht="75" x14ac:dyDescent="0.25">
      <c r="A36" s="11" t="s">
        <v>270</v>
      </c>
      <c r="B36" s="12" t="s">
        <v>269</v>
      </c>
      <c r="C36" s="20" t="s">
        <v>271</v>
      </c>
      <c r="D36" s="14">
        <f>1367145+33008</f>
        <v>1400153</v>
      </c>
      <c r="E36" s="14">
        <f>1347909+4811</f>
        <v>1352720</v>
      </c>
      <c r="F36" s="14">
        <f>1490854+5463</f>
        <v>1496317</v>
      </c>
      <c r="G36" s="14">
        <f>2144018+11759</f>
        <v>2155777</v>
      </c>
      <c r="H36" s="14">
        <v>23993</v>
      </c>
      <c r="I36" s="14">
        <v>0</v>
      </c>
      <c r="J36" s="14">
        <v>0</v>
      </c>
      <c r="K36" s="14">
        <v>0</v>
      </c>
      <c r="L36" s="14">
        <v>130536</v>
      </c>
      <c r="M36" s="14">
        <v>153373</v>
      </c>
      <c r="N36" s="14">
        <v>234484</v>
      </c>
      <c r="O36" s="14">
        <v>201104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>
        <v>604502</v>
      </c>
      <c r="AC36" s="14">
        <v>699374</v>
      </c>
      <c r="AD36" s="14">
        <v>738882</v>
      </c>
      <c r="AE36" s="14">
        <v>1693789</v>
      </c>
      <c r="AF36" s="14">
        <v>208612</v>
      </c>
      <c r="AG36" s="14">
        <v>197810</v>
      </c>
      <c r="AH36" s="14">
        <f>207417+1579</f>
        <v>208996</v>
      </c>
      <c r="AI36" s="14">
        <f>105887+1579</f>
        <v>107466</v>
      </c>
      <c r="AJ36" s="39">
        <v>1999</v>
      </c>
      <c r="AK36" s="39">
        <f t="shared" si="0"/>
        <v>22</v>
      </c>
      <c r="AL36" s="39">
        <v>3</v>
      </c>
      <c r="AM36" s="39">
        <v>1</v>
      </c>
      <c r="AN36" s="39" t="s">
        <v>5</v>
      </c>
    </row>
    <row r="37" spans="1:40" s="15" customFormat="1" ht="72.599999999999994" customHeight="1" x14ac:dyDescent="0.25">
      <c r="A37" s="11" t="s">
        <v>274</v>
      </c>
      <c r="B37" s="12" t="s">
        <v>272</v>
      </c>
      <c r="C37" s="20" t="s">
        <v>275</v>
      </c>
      <c r="D37" s="14">
        <f>25921151+64744+3</f>
        <v>25985898</v>
      </c>
      <c r="E37" s="14">
        <f>27008852+111114+77764</f>
        <v>27197730</v>
      </c>
      <c r="F37" s="14">
        <f>5257258+8153609</f>
        <v>13410867</v>
      </c>
      <c r="G37" s="14">
        <f>10464409</f>
        <v>10464409</v>
      </c>
      <c r="H37" s="14">
        <v>0</v>
      </c>
      <c r="I37" s="14">
        <v>0</v>
      </c>
      <c r="J37" s="14">
        <v>0</v>
      </c>
      <c r="K37" s="14">
        <v>0</v>
      </c>
      <c r="L37" s="14">
        <v>94830</v>
      </c>
      <c r="M37" s="14">
        <v>81030</v>
      </c>
      <c r="N37" s="14">
        <v>125610</v>
      </c>
      <c r="O37" s="41" t="s">
        <v>115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>
        <v>1786997</v>
      </c>
      <c r="AC37" s="14">
        <v>2500456</v>
      </c>
      <c r="AD37" s="14">
        <v>3932460</v>
      </c>
      <c r="AE37" s="14">
        <v>7484776</v>
      </c>
      <c r="AF37" s="14">
        <f>119472+350</f>
        <v>119822</v>
      </c>
      <c r="AG37" s="14">
        <f>98619+350</f>
        <v>98969</v>
      </c>
      <c r="AH37" s="14">
        <f>102091+350</f>
        <v>102441</v>
      </c>
      <c r="AI37" s="14">
        <v>107496</v>
      </c>
      <c r="AJ37" s="39">
        <v>1992</v>
      </c>
      <c r="AK37" s="39">
        <f t="shared" si="0"/>
        <v>29</v>
      </c>
      <c r="AL37" s="39">
        <v>6</v>
      </c>
      <c r="AM37" s="39">
        <v>1</v>
      </c>
      <c r="AN37" s="39" t="s">
        <v>273</v>
      </c>
    </row>
    <row r="38" spans="1:40" ht="75" x14ac:dyDescent="0.25">
      <c r="A38" s="4" t="s">
        <v>289</v>
      </c>
      <c r="B38" s="17" t="s">
        <v>288</v>
      </c>
      <c r="C38" s="8" t="s">
        <v>290</v>
      </c>
      <c r="D38" s="5">
        <f>7999146</f>
        <v>7999146</v>
      </c>
      <c r="E38" s="5">
        <f>9178877+81928</f>
        <v>9260805</v>
      </c>
      <c r="F38" s="5">
        <f>8171288.96</f>
        <v>8171288.96</v>
      </c>
      <c r="G38" s="5">
        <v>8514181.2400000002</v>
      </c>
      <c r="H38" s="5">
        <v>0</v>
      </c>
      <c r="I38" s="5">
        <v>81928</v>
      </c>
      <c r="J38" s="5">
        <f>205733.06-20698.16</f>
        <v>185034.9</v>
      </c>
      <c r="K38" s="5">
        <f>29447.51-19359.63</f>
        <v>10087.879999999997</v>
      </c>
      <c r="L38" s="5">
        <v>260705</v>
      </c>
      <c r="M38" s="5">
        <v>300465</v>
      </c>
      <c r="N38" s="5" t="s">
        <v>115</v>
      </c>
      <c r="O38" s="41" t="s">
        <v>115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>
        <v>3828137</v>
      </c>
      <c r="AC38" s="5">
        <v>5599328</v>
      </c>
      <c r="AD38" s="5">
        <v>3816722.45</v>
      </c>
      <c r="AE38" s="5">
        <v>4633519.68</v>
      </c>
      <c r="AF38" s="5">
        <v>553594</v>
      </c>
      <c r="AG38" s="5">
        <v>472041</v>
      </c>
      <c r="AH38" s="5">
        <v>351671.01</v>
      </c>
      <c r="AI38" s="5">
        <v>431857.03</v>
      </c>
      <c r="AJ38" s="39">
        <v>2002</v>
      </c>
      <c r="AK38" s="39">
        <f t="shared" si="0"/>
        <v>19</v>
      </c>
      <c r="AL38" s="39">
        <v>3</v>
      </c>
      <c r="AM38" s="39">
        <v>1</v>
      </c>
      <c r="AN38" s="39" t="s">
        <v>5</v>
      </c>
    </row>
    <row r="39" spans="1:40" ht="45" x14ac:dyDescent="0.25">
      <c r="A39" s="4" t="s">
        <v>295</v>
      </c>
      <c r="B39" s="17" t="s">
        <v>294</v>
      </c>
      <c r="C39" s="8" t="s">
        <v>296</v>
      </c>
      <c r="D39" s="5">
        <f>18431929.71</f>
        <v>18431929.710000001</v>
      </c>
      <c r="E39" s="5">
        <v>19205708.149999999</v>
      </c>
      <c r="F39" s="5">
        <v>27337875.350000001</v>
      </c>
      <c r="G39" s="5">
        <v>21102528.09</v>
      </c>
      <c r="H39" s="5">
        <f>58754.22-45904.56</f>
        <v>12849.660000000003</v>
      </c>
      <c r="I39" s="5">
        <f>77574.23-20419.75</f>
        <v>57154.479999999996</v>
      </c>
      <c r="J39" s="5">
        <f>50027.96-44490.02</f>
        <v>5537.9400000000023</v>
      </c>
      <c r="K39" s="5">
        <v>0</v>
      </c>
      <c r="L39" s="5">
        <v>261871.28</v>
      </c>
      <c r="M39" s="5">
        <v>296830.99</v>
      </c>
      <c r="N39" s="5">
        <v>341797.96</v>
      </c>
      <c r="O39" s="5">
        <v>79430.36</v>
      </c>
      <c r="P39" s="5">
        <f>2540129.55+5103621.63+896458.49</f>
        <v>8540209.6699999999</v>
      </c>
      <c r="Q39" s="5">
        <f>2715818.49+5191601.66+770407.02</f>
        <v>8677827.1699999999</v>
      </c>
      <c r="R39" s="5">
        <f>2614330.24+5218852.54+8473647.36</f>
        <v>16306830.140000001</v>
      </c>
      <c r="S39" s="5">
        <f>2541939.97+3639469.34+3919183.26</f>
        <v>10100592.57</v>
      </c>
      <c r="T39" s="5">
        <f>67860.31+884.8+6869820.57+2953154.36</f>
        <v>9891720.040000001</v>
      </c>
      <c r="U39" s="5">
        <f>102055.39+13932.19+7155224.29+3256669.11</f>
        <v>10527880.98</v>
      </c>
      <c r="V39" s="5">
        <f>16981.48+121388.36+7415420.01+3477255.36</f>
        <v>11031045.209999999</v>
      </c>
      <c r="W39" s="5">
        <f>9380.38+7829400.17+3163154.97</f>
        <v>11001935.52</v>
      </c>
      <c r="X39" s="5"/>
      <c r="Y39" s="5"/>
      <c r="Z39" s="5"/>
      <c r="AA39" s="5"/>
      <c r="AB39" s="5">
        <v>7490552.79</v>
      </c>
      <c r="AC39" s="5">
        <v>7293189.3899999997</v>
      </c>
      <c r="AD39" s="5">
        <v>15189063.65</v>
      </c>
      <c r="AE39" s="5">
        <v>16349481.6</v>
      </c>
      <c r="AF39" s="5">
        <v>2605684.9300000002</v>
      </c>
      <c r="AG39" s="5">
        <v>2801128.92</v>
      </c>
      <c r="AH39" s="5">
        <v>10282276.59</v>
      </c>
      <c r="AI39" s="5">
        <v>10034342.380000001</v>
      </c>
      <c r="AJ39" s="39">
        <v>1969</v>
      </c>
      <c r="AK39" s="39">
        <f t="shared" ref="AK39:AK44" si="1">2021-AJ39</f>
        <v>52</v>
      </c>
      <c r="AL39" s="39">
        <v>3</v>
      </c>
      <c r="AM39" s="39">
        <v>1</v>
      </c>
      <c r="AN39" s="39" t="s">
        <v>297</v>
      </c>
    </row>
    <row r="40" spans="1:40" ht="60" x14ac:dyDescent="0.25">
      <c r="A40" s="4" t="s">
        <v>300</v>
      </c>
      <c r="B40" s="17" t="s">
        <v>298</v>
      </c>
      <c r="C40" s="8" t="s">
        <v>299</v>
      </c>
      <c r="D40" s="5">
        <f>23241076+7356472+966657</f>
        <v>31564205</v>
      </c>
      <c r="E40" s="5">
        <f>32179719+11113476+432052</f>
        <v>43725247</v>
      </c>
      <c r="F40" s="5">
        <f>38641510+17628490+529314</f>
        <v>56799314</v>
      </c>
      <c r="G40" s="5">
        <f>61279632+15668641+361206</f>
        <v>77309479</v>
      </c>
      <c r="H40" s="5">
        <f>966657-227770</f>
        <v>738887</v>
      </c>
      <c r="I40" s="5">
        <f>432052-215630</f>
        <v>216422</v>
      </c>
      <c r="J40" s="5">
        <f>529314-242899</f>
        <v>286415</v>
      </c>
      <c r="K40" s="5">
        <f>361206-340156</f>
        <v>21050</v>
      </c>
      <c r="L40" s="5">
        <v>1856190</v>
      </c>
      <c r="M40" s="5">
        <v>2183105</v>
      </c>
      <c r="N40" s="5">
        <v>2230268</v>
      </c>
      <c r="O40" s="5">
        <v>1469136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>
        <v>25346265</v>
      </c>
      <c r="AC40" s="5">
        <v>30527527</v>
      </c>
      <c r="AD40" s="5">
        <v>35383020</v>
      </c>
      <c r="AE40" s="5">
        <v>57622196</v>
      </c>
      <c r="AF40" s="5">
        <f>10496340+20660</f>
        <v>10517000</v>
      </c>
      <c r="AG40" s="5">
        <f>12018824+20660</f>
        <v>12039484</v>
      </c>
      <c r="AH40" s="5">
        <v>14205566</v>
      </c>
      <c r="AI40" s="5">
        <v>31682258</v>
      </c>
      <c r="AJ40" s="39">
        <v>2002</v>
      </c>
      <c r="AK40" s="39">
        <f t="shared" si="1"/>
        <v>19</v>
      </c>
      <c r="AL40" s="39">
        <v>1</v>
      </c>
      <c r="AM40" s="39">
        <v>1</v>
      </c>
      <c r="AN40" s="39" t="s">
        <v>5</v>
      </c>
    </row>
    <row r="41" spans="1:40" ht="45" x14ac:dyDescent="0.25">
      <c r="A41" s="4" t="s">
        <v>304</v>
      </c>
      <c r="B41" s="17" t="s">
        <v>303</v>
      </c>
      <c r="C41" s="8" t="s">
        <v>256</v>
      </c>
      <c r="D41" s="5">
        <f>49662161+106166</f>
        <v>49768327</v>
      </c>
      <c r="E41" s="5">
        <f>54094280+385998</f>
        <v>54480278</v>
      </c>
      <c r="F41" s="5">
        <f>56572256+509952</f>
        <v>57082208</v>
      </c>
      <c r="G41" s="5">
        <f>66960148+280822</f>
        <v>67240970</v>
      </c>
      <c r="H41" s="5">
        <v>0</v>
      </c>
      <c r="I41" s="5">
        <v>0</v>
      </c>
      <c r="J41" s="5">
        <v>0</v>
      </c>
      <c r="K41" s="5">
        <v>0</v>
      </c>
      <c r="L41" s="5">
        <v>205448</v>
      </c>
      <c r="M41" s="5">
        <v>501067</v>
      </c>
      <c r="N41" s="5">
        <v>692600</v>
      </c>
      <c r="O41" s="5">
        <v>721897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>
        <v>25403659</v>
      </c>
      <c r="AC41" s="5">
        <v>31479549</v>
      </c>
      <c r="AD41" s="5">
        <v>34644898</v>
      </c>
      <c r="AE41" s="5">
        <v>35952386</v>
      </c>
      <c r="AF41" s="5">
        <f>2006850+15262570+33434</f>
        <v>17302854</v>
      </c>
      <c r="AG41" s="5">
        <f>1944453+14821501+64861</f>
        <v>16830815</v>
      </c>
      <c r="AH41" s="5">
        <f>1885123+16429624+41878</f>
        <v>18356625</v>
      </c>
      <c r="AI41" s="5">
        <f>1825789+16163963+18895</f>
        <v>18008647</v>
      </c>
      <c r="AJ41" s="39">
        <v>1967</v>
      </c>
      <c r="AK41" s="39">
        <f t="shared" si="1"/>
        <v>54</v>
      </c>
      <c r="AL41" s="39">
        <v>1</v>
      </c>
      <c r="AM41" s="39">
        <v>1</v>
      </c>
      <c r="AN41" s="39" t="s">
        <v>5</v>
      </c>
    </row>
    <row r="42" spans="1:40" ht="45" x14ac:dyDescent="0.25">
      <c r="A42" s="4" t="s">
        <v>311</v>
      </c>
      <c r="B42" s="17" t="s">
        <v>310</v>
      </c>
      <c r="C42" s="8" t="s">
        <v>256</v>
      </c>
      <c r="D42" s="5">
        <f>15406000+230000</f>
        <v>15636000</v>
      </c>
      <c r="E42" s="5">
        <f>16140000+174000</f>
        <v>16314000</v>
      </c>
      <c r="F42" s="5">
        <f>19325000+257000</f>
        <v>19582000</v>
      </c>
      <c r="G42" s="5">
        <f>15315000+143000</f>
        <v>15458000</v>
      </c>
      <c r="H42" s="5">
        <v>111000</v>
      </c>
      <c r="I42" s="5">
        <v>76000</v>
      </c>
      <c r="J42" s="5">
        <v>152000</v>
      </c>
      <c r="K42" s="5">
        <v>31000</v>
      </c>
      <c r="L42" s="5">
        <v>526000</v>
      </c>
      <c r="M42" s="5">
        <v>444000</v>
      </c>
      <c r="N42" s="5">
        <v>398000</v>
      </c>
      <c r="O42" s="5">
        <v>302000</v>
      </c>
      <c r="P42" s="5">
        <v>4776000</v>
      </c>
      <c r="Q42" s="5">
        <v>2937000</v>
      </c>
      <c r="R42" s="5">
        <v>3939000</v>
      </c>
      <c r="S42" s="5">
        <v>2793000</v>
      </c>
      <c r="T42" s="5">
        <v>10630000</v>
      </c>
      <c r="U42" s="5">
        <v>13203000</v>
      </c>
      <c r="V42" s="5">
        <v>15386000</v>
      </c>
      <c r="W42" s="5">
        <v>12522000</v>
      </c>
      <c r="X42" s="5"/>
      <c r="Y42" s="5"/>
      <c r="Z42" s="5"/>
      <c r="AA42" s="5"/>
      <c r="AB42" s="5">
        <v>12708000</v>
      </c>
      <c r="AC42" s="5">
        <v>12483000</v>
      </c>
      <c r="AD42" s="5">
        <v>13649000</v>
      </c>
      <c r="AE42" s="5">
        <v>12487000</v>
      </c>
      <c r="AF42" s="5">
        <f>1994000+57000</f>
        <v>2051000</v>
      </c>
      <c r="AG42" s="5">
        <f>1923000+60000</f>
        <v>1983000</v>
      </c>
      <c r="AH42" s="5">
        <f>1941000+54000</f>
        <v>1995000</v>
      </c>
      <c r="AI42" s="5">
        <f>1894000+35000</f>
        <v>1929000</v>
      </c>
      <c r="AJ42" s="39">
        <v>1967</v>
      </c>
      <c r="AK42" s="39">
        <f t="shared" si="1"/>
        <v>54</v>
      </c>
      <c r="AL42" s="39">
        <v>1</v>
      </c>
      <c r="AM42" s="39">
        <v>1</v>
      </c>
      <c r="AN42" s="39" t="s">
        <v>5</v>
      </c>
    </row>
    <row r="43" spans="1:40" ht="60" x14ac:dyDescent="0.25">
      <c r="A43" s="4" t="s">
        <v>313</v>
      </c>
      <c r="B43" s="17" t="s">
        <v>312</v>
      </c>
      <c r="C43" s="8" t="s">
        <v>314</v>
      </c>
      <c r="D43" s="5">
        <f>7595104+403.16+227835.57+1189829.01+2254864.4</f>
        <v>11268036.140000001</v>
      </c>
      <c r="E43" s="5">
        <f>7852940.07+9345.1+8175.04+2209796.57+111234.02+538997.66</f>
        <v>10730488.459999999</v>
      </c>
      <c r="F43" s="5">
        <f>7739835.99+44591.73+10059.72+121844.3+169987.75+1393170.3</f>
        <v>9479489.790000001</v>
      </c>
      <c r="G43" s="5">
        <f>7552074.31+16199.93+65499.19+134802.14+1021002.17</f>
        <v>8789577.7400000002</v>
      </c>
      <c r="H43" s="5">
        <f>104482.81</f>
        <v>104482.81</v>
      </c>
      <c r="I43" s="5">
        <v>0</v>
      </c>
      <c r="J43" s="5">
        <v>13661.58</v>
      </c>
      <c r="K43" s="5">
        <v>0</v>
      </c>
      <c r="L43" s="41" t="s">
        <v>115</v>
      </c>
      <c r="M43" s="41" t="s">
        <v>115</v>
      </c>
      <c r="N43" s="5">
        <v>169987.75</v>
      </c>
      <c r="O43" s="5">
        <v>134802.14000000001</v>
      </c>
      <c r="P43" s="5">
        <v>1189829.01</v>
      </c>
      <c r="Q43" s="5">
        <v>538997.66</v>
      </c>
      <c r="R43" s="5">
        <v>1393170.3</v>
      </c>
      <c r="S43" s="5">
        <v>1021002.017</v>
      </c>
      <c r="T43" s="5">
        <f>D43-P43</f>
        <v>10078207.130000001</v>
      </c>
      <c r="U43" s="5">
        <f>E43-Q43</f>
        <v>10191490.799999999</v>
      </c>
      <c r="V43" s="5">
        <f>F43-R43</f>
        <v>8086319.4900000012</v>
      </c>
      <c r="W43" s="5">
        <f>G43-S43</f>
        <v>7768575.7230000002</v>
      </c>
      <c r="X43" s="5"/>
      <c r="Y43" s="5"/>
      <c r="Z43" s="5"/>
      <c r="AA43" s="5"/>
      <c r="AB43" s="5">
        <v>18162175.73</v>
      </c>
      <c r="AC43" s="5">
        <v>15166409.109999999</v>
      </c>
      <c r="AD43" s="5">
        <v>14489203.189999999</v>
      </c>
      <c r="AE43" s="5">
        <v>14085296.76</v>
      </c>
      <c r="AF43" s="5">
        <v>9745177.9499999993</v>
      </c>
      <c r="AG43" s="5">
        <v>9883930.6300000008</v>
      </c>
      <c r="AH43" s="5">
        <v>9248181.6400000006</v>
      </c>
      <c r="AI43" s="5">
        <v>8815065.3000000007</v>
      </c>
      <c r="AJ43" s="39">
        <v>1986</v>
      </c>
      <c r="AK43" s="39">
        <f t="shared" si="1"/>
        <v>35</v>
      </c>
      <c r="AL43" s="39">
        <v>3</v>
      </c>
      <c r="AM43" s="39">
        <v>1</v>
      </c>
      <c r="AN43" s="39" t="s">
        <v>192</v>
      </c>
    </row>
    <row r="44" spans="1:40" ht="60" x14ac:dyDescent="0.25">
      <c r="A44" s="4" t="s">
        <v>316</v>
      </c>
      <c r="B44" s="17" t="s">
        <v>315</v>
      </c>
      <c r="C44" s="8" t="s">
        <v>317</v>
      </c>
      <c r="D44" s="5">
        <f>2774994</f>
        <v>2774994</v>
      </c>
      <c r="E44" s="5">
        <v>3076184</v>
      </c>
      <c r="F44" s="5">
        <f>3634734+22182</f>
        <v>3656916</v>
      </c>
      <c r="G44" s="5">
        <f>4008178+10141</f>
        <v>4018319</v>
      </c>
      <c r="H44" s="5">
        <f>34059-15228</f>
        <v>18831</v>
      </c>
      <c r="I44" s="5">
        <f>12264-8201</f>
        <v>4063</v>
      </c>
      <c r="J44" s="5">
        <v>7118</v>
      </c>
      <c r="K44" s="5">
        <v>379</v>
      </c>
      <c r="L44" s="5">
        <v>153000</v>
      </c>
      <c r="M44" s="5">
        <v>657140</v>
      </c>
      <c r="N44" s="5">
        <v>785134</v>
      </c>
      <c r="O44" s="5">
        <v>944368</v>
      </c>
      <c r="P44" s="5">
        <v>1752486</v>
      </c>
      <c r="Q44" s="5">
        <v>1695193</v>
      </c>
      <c r="R44" s="5">
        <v>1723205</v>
      </c>
      <c r="S44" s="5">
        <v>1865855</v>
      </c>
      <c r="T44" s="5">
        <v>1022508</v>
      </c>
      <c r="U44" s="5">
        <v>1380991</v>
      </c>
      <c r="V44" s="5">
        <v>1911529</v>
      </c>
      <c r="W44" s="5">
        <v>2142323</v>
      </c>
      <c r="X44" s="5"/>
      <c r="Y44" s="5"/>
      <c r="Z44" s="5"/>
      <c r="AA44" s="5"/>
      <c r="AB44" s="5">
        <v>667876</v>
      </c>
      <c r="AC44" s="5">
        <v>422936</v>
      </c>
      <c r="AD44" s="5">
        <v>822306</v>
      </c>
      <c r="AE44" s="5">
        <v>1091133</v>
      </c>
      <c r="AF44" s="5">
        <v>151958</v>
      </c>
      <c r="AG44" s="5">
        <v>117217</v>
      </c>
      <c r="AH44" s="5">
        <f>91926+3019</f>
        <v>94945</v>
      </c>
      <c r="AI44" s="5">
        <f>33574</f>
        <v>33574</v>
      </c>
      <c r="AJ44" s="39">
        <v>2000</v>
      </c>
      <c r="AK44" s="39">
        <f t="shared" si="1"/>
        <v>21</v>
      </c>
      <c r="AL44" s="39">
        <v>1</v>
      </c>
      <c r="AM44" s="39">
        <v>1</v>
      </c>
      <c r="AN44" s="39" t="s">
        <v>5</v>
      </c>
    </row>
    <row r="45" spans="1:40" x14ac:dyDescent="0.25">
      <c r="A45" s="4"/>
      <c r="B45" s="4"/>
      <c r="C45" s="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39"/>
      <c r="AK45" s="39"/>
      <c r="AL45" s="39"/>
      <c r="AM45" s="39"/>
      <c r="AN45" s="39"/>
    </row>
    <row r="46" spans="1:40" x14ac:dyDescent="0.25">
      <c r="A46" s="4"/>
      <c r="B46" s="4"/>
      <c r="C46" s="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39"/>
      <c r="AK46" s="39"/>
      <c r="AL46" s="39"/>
      <c r="AM46" s="39"/>
      <c r="AN46" s="39"/>
    </row>
    <row r="47" spans="1:40" x14ac:dyDescent="0.25">
      <c r="A47" s="4"/>
      <c r="B47" s="4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39"/>
      <c r="AK47" s="39"/>
      <c r="AL47" s="39"/>
      <c r="AM47" s="39"/>
      <c r="AN47" s="39"/>
    </row>
    <row r="48" spans="1:40" x14ac:dyDescent="0.25">
      <c r="A48" s="4"/>
      <c r="B48" s="4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39"/>
      <c r="AK48" s="39"/>
      <c r="AL48" s="39"/>
      <c r="AM48" s="39"/>
      <c r="AN48" s="39"/>
    </row>
    <row r="49" spans="1:40" x14ac:dyDescent="0.25">
      <c r="A49" s="4"/>
      <c r="B49" s="4"/>
      <c r="C49" s="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39"/>
      <c r="AK49" s="39"/>
      <c r="AL49" s="39"/>
      <c r="AM49" s="39"/>
      <c r="AN49" s="39"/>
    </row>
    <row r="50" spans="1:40" x14ac:dyDescent="0.25">
      <c r="A50" s="4"/>
      <c r="B50" s="4"/>
      <c r="C50" s="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39"/>
      <c r="AK50" s="39"/>
      <c r="AL50" s="39"/>
      <c r="AM50" s="39"/>
      <c r="AN50" s="39"/>
    </row>
    <row r="51" spans="1:40" x14ac:dyDescent="0.25">
      <c r="A51" s="4"/>
      <c r="B51" s="4"/>
      <c r="C51" s="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39"/>
      <c r="AK51" s="39"/>
      <c r="AL51" s="39"/>
      <c r="AM51" s="39"/>
      <c r="AN51" s="39"/>
    </row>
    <row r="52" spans="1:40" x14ac:dyDescent="0.25">
      <c r="A52" s="4"/>
      <c r="B52" s="4"/>
      <c r="C52" s="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39"/>
      <c r="AK52" s="39"/>
      <c r="AL52" s="39"/>
      <c r="AM52" s="39"/>
      <c r="AN52" s="39"/>
    </row>
    <row r="53" spans="1:40" x14ac:dyDescent="0.25">
      <c r="A53" s="4"/>
      <c r="B53" s="4"/>
      <c r="C53" s="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39"/>
      <c r="AK53" s="39"/>
      <c r="AL53" s="39"/>
      <c r="AM53" s="39"/>
      <c r="AN53" s="39"/>
    </row>
    <row r="54" spans="1:40" x14ac:dyDescent="0.25">
      <c r="A54" s="4"/>
      <c r="B54" s="4"/>
      <c r="C54" s="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39"/>
      <c r="AK54" s="39"/>
      <c r="AL54" s="39"/>
      <c r="AM54" s="39"/>
      <c r="AN54" s="39"/>
    </row>
    <row r="55" spans="1:40" x14ac:dyDescent="0.25">
      <c r="A55" s="4"/>
      <c r="B55" s="4"/>
      <c r="C55" s="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39"/>
      <c r="AK55" s="39"/>
      <c r="AL55" s="39"/>
      <c r="AM55" s="39"/>
      <c r="AN55" s="39"/>
    </row>
    <row r="56" spans="1:40" x14ac:dyDescent="0.25">
      <c r="A56" s="4"/>
      <c r="B56" s="4"/>
      <c r="C56" s="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39"/>
      <c r="AK56" s="39"/>
      <c r="AL56" s="39"/>
      <c r="AM56" s="39"/>
      <c r="AN56" s="39"/>
    </row>
    <row r="57" spans="1:40" x14ac:dyDescent="0.25">
      <c r="A57" s="4"/>
      <c r="B57" s="4"/>
      <c r="C57" s="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39"/>
      <c r="AK57" s="39"/>
      <c r="AL57" s="39"/>
      <c r="AM57" s="39"/>
      <c r="AN57" s="39"/>
    </row>
    <row r="58" spans="1:40" x14ac:dyDescent="0.25">
      <c r="A58" s="4"/>
      <c r="B58" s="4"/>
      <c r="C58" s="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39"/>
      <c r="AK58" s="39"/>
      <c r="AL58" s="39"/>
      <c r="AM58" s="39"/>
      <c r="AN58" s="39"/>
    </row>
    <row r="59" spans="1:40" x14ac:dyDescent="0.25">
      <c r="A59" s="4"/>
      <c r="B59" s="4"/>
      <c r="C59" s="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39"/>
      <c r="AK59" s="39"/>
      <c r="AL59" s="39"/>
      <c r="AM59" s="39"/>
      <c r="AN59" s="39"/>
    </row>
    <row r="60" spans="1:40" x14ac:dyDescent="0.25">
      <c r="A60" s="4"/>
      <c r="B60" s="4"/>
      <c r="C60" s="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39"/>
      <c r="AK60" s="39"/>
      <c r="AL60" s="39"/>
      <c r="AM60" s="39"/>
      <c r="AN60" s="39"/>
    </row>
    <row r="61" spans="1:40" x14ac:dyDescent="0.25">
      <c r="A61" s="4"/>
      <c r="B61" s="4"/>
      <c r="C61" s="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39"/>
      <c r="AK61" s="39"/>
      <c r="AL61" s="39"/>
      <c r="AM61" s="39"/>
      <c r="AN61" s="39"/>
    </row>
    <row r="62" spans="1:40" x14ac:dyDescent="0.25">
      <c r="A62" s="4"/>
      <c r="B62" s="4"/>
      <c r="C62" s="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39"/>
      <c r="AK62" s="39"/>
      <c r="AL62" s="39"/>
      <c r="AM62" s="39"/>
      <c r="AN62" s="39"/>
    </row>
    <row r="63" spans="1:40" x14ac:dyDescent="0.25">
      <c r="A63" s="4"/>
      <c r="B63" s="4"/>
      <c r="C63" s="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39"/>
      <c r="AK63" s="39"/>
      <c r="AL63" s="39"/>
      <c r="AM63" s="39"/>
      <c r="AN63" s="39"/>
    </row>
    <row r="64" spans="1:40" x14ac:dyDescent="0.25">
      <c r="A64" s="4"/>
      <c r="B64" s="4"/>
      <c r="C64" s="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39"/>
      <c r="AK64" s="39"/>
      <c r="AL64" s="39"/>
      <c r="AM64" s="39"/>
      <c r="AN64" s="39"/>
    </row>
    <row r="65" spans="1:40" x14ac:dyDescent="0.25">
      <c r="A65" s="4"/>
      <c r="B65" s="4"/>
      <c r="C65" s="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39"/>
      <c r="AK65" s="39"/>
      <c r="AL65" s="39"/>
      <c r="AM65" s="39"/>
      <c r="AN65" s="39"/>
    </row>
    <row r="66" spans="1:40" x14ac:dyDescent="0.25">
      <c r="A66" s="4"/>
      <c r="B66" s="4"/>
      <c r="C66" s="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39"/>
      <c r="AK66" s="39"/>
      <c r="AL66" s="39"/>
      <c r="AM66" s="39"/>
      <c r="AN66" s="39"/>
    </row>
    <row r="67" spans="1:40" x14ac:dyDescent="0.25">
      <c r="A67" s="4"/>
      <c r="B67" s="4"/>
      <c r="C67" s="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39"/>
      <c r="AK67" s="39"/>
      <c r="AL67" s="39"/>
      <c r="AM67" s="39"/>
      <c r="AN67" s="39"/>
    </row>
    <row r="68" spans="1:40" x14ac:dyDescent="0.25">
      <c r="A68" s="4"/>
      <c r="B68" s="4"/>
      <c r="C68" s="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39"/>
      <c r="AK68" s="39"/>
      <c r="AL68" s="39"/>
      <c r="AM68" s="39"/>
      <c r="AN68" s="39"/>
    </row>
    <row r="69" spans="1:40" x14ac:dyDescent="0.25">
      <c r="A69" s="4"/>
      <c r="B69" s="4"/>
      <c r="C69" s="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39"/>
      <c r="AK69" s="39"/>
      <c r="AL69" s="39"/>
      <c r="AM69" s="39"/>
      <c r="AN69" s="39"/>
    </row>
    <row r="70" spans="1:40" x14ac:dyDescent="0.25">
      <c r="A70" s="4"/>
      <c r="B70" s="4"/>
      <c r="C70" s="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39"/>
      <c r="AK70" s="39"/>
      <c r="AL70" s="39"/>
      <c r="AM70" s="39"/>
      <c r="AN70" s="39"/>
    </row>
    <row r="71" spans="1:40" x14ac:dyDescent="0.25">
      <c r="A71" s="4"/>
      <c r="B71" s="4"/>
      <c r="C71" s="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39"/>
      <c r="AK71" s="39"/>
      <c r="AL71" s="39"/>
      <c r="AM71" s="39"/>
      <c r="AN71" s="39"/>
    </row>
    <row r="72" spans="1:40" x14ac:dyDescent="0.25">
      <c r="A72" s="4"/>
      <c r="B72" s="4"/>
      <c r="C72" s="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39"/>
      <c r="AK72" s="39"/>
      <c r="AL72" s="39"/>
      <c r="AM72" s="39"/>
      <c r="AN72" s="39"/>
    </row>
    <row r="73" spans="1:40" x14ac:dyDescent="0.25">
      <c r="A73" s="4"/>
      <c r="B73" s="4"/>
      <c r="C73" s="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39"/>
      <c r="AK73" s="39"/>
      <c r="AL73" s="39"/>
      <c r="AM73" s="39"/>
      <c r="AN73" s="39"/>
    </row>
    <row r="74" spans="1:40" x14ac:dyDescent="0.25">
      <c r="A74" s="4"/>
      <c r="B74" s="4"/>
      <c r="C74" s="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39"/>
      <c r="AK74" s="39"/>
      <c r="AL74" s="39"/>
      <c r="AM74" s="39"/>
      <c r="AN74" s="39"/>
    </row>
    <row r="75" spans="1:40" x14ac:dyDescent="0.25">
      <c r="A75" s="4"/>
      <c r="B75" s="4"/>
      <c r="C75" s="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39"/>
      <c r="AK75" s="39"/>
      <c r="AL75" s="39"/>
      <c r="AM75" s="39"/>
      <c r="AN75" s="39"/>
    </row>
    <row r="76" spans="1:40" x14ac:dyDescent="0.25">
      <c r="A76" s="4"/>
      <c r="B76" s="4"/>
      <c r="C76" s="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39"/>
      <c r="AK76" s="39"/>
      <c r="AL76" s="39"/>
      <c r="AM76" s="39"/>
      <c r="AN76" s="39"/>
    </row>
    <row r="77" spans="1:40" x14ac:dyDescent="0.25">
      <c r="A77" s="4"/>
      <c r="B77" s="4"/>
      <c r="C77" s="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39"/>
      <c r="AK77" s="39"/>
      <c r="AL77" s="39"/>
      <c r="AM77" s="39"/>
      <c r="AN77" s="39"/>
    </row>
    <row r="78" spans="1:40" x14ac:dyDescent="0.25">
      <c r="A78" s="4"/>
      <c r="B78" s="4"/>
      <c r="C78" s="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39"/>
      <c r="AK78" s="39"/>
      <c r="AL78" s="39"/>
      <c r="AM78" s="39"/>
      <c r="AN78" s="39"/>
    </row>
    <row r="79" spans="1:40" x14ac:dyDescent="0.25">
      <c r="A79" s="4"/>
      <c r="B79" s="4"/>
      <c r="C79" s="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39"/>
      <c r="AK79" s="39"/>
      <c r="AL79" s="39"/>
      <c r="AM79" s="39"/>
      <c r="AN79" s="39"/>
    </row>
    <row r="80" spans="1:40" x14ac:dyDescent="0.25">
      <c r="A80" s="4"/>
      <c r="B80" s="4"/>
      <c r="C80" s="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39"/>
      <c r="AK80" s="39"/>
      <c r="AL80" s="39"/>
      <c r="AM80" s="39"/>
      <c r="AN80" s="39"/>
    </row>
    <row r="81" spans="1:40" x14ac:dyDescent="0.25">
      <c r="A81" s="4"/>
      <c r="B81" s="4"/>
      <c r="C81" s="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39"/>
      <c r="AK81" s="39"/>
      <c r="AL81" s="39"/>
      <c r="AM81" s="39"/>
      <c r="AN81" s="39"/>
    </row>
    <row r="82" spans="1:40" x14ac:dyDescent="0.25">
      <c r="A82" s="4"/>
      <c r="B82" s="4"/>
      <c r="C82" s="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39"/>
      <c r="AK82" s="39"/>
      <c r="AL82" s="39"/>
      <c r="AM82" s="39"/>
      <c r="AN82" s="39"/>
    </row>
    <row r="83" spans="1:40" x14ac:dyDescent="0.25">
      <c r="A83" s="4"/>
      <c r="B83" s="4"/>
      <c r="C83" s="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39"/>
      <c r="AK83" s="39"/>
      <c r="AL83" s="39"/>
      <c r="AM83" s="39"/>
      <c r="AN83" s="39"/>
    </row>
    <row r="84" spans="1:40" x14ac:dyDescent="0.25">
      <c r="A84" s="4"/>
      <c r="B84" s="4"/>
      <c r="C84" s="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39"/>
      <c r="AK84" s="39"/>
      <c r="AL84" s="39"/>
      <c r="AM84" s="39"/>
      <c r="AN84" s="39"/>
    </row>
    <row r="85" spans="1:40" x14ac:dyDescent="0.25">
      <c r="A85" s="4"/>
      <c r="B85" s="4"/>
      <c r="C85" s="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39"/>
      <c r="AK85" s="39"/>
      <c r="AL85" s="39"/>
      <c r="AM85" s="39"/>
      <c r="AN85" s="39"/>
    </row>
    <row r="86" spans="1:40" x14ac:dyDescent="0.25">
      <c r="A86" s="4"/>
      <c r="B86" s="4"/>
      <c r="C86" s="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39"/>
      <c r="AK86" s="39"/>
      <c r="AL86" s="39"/>
      <c r="AM86" s="39"/>
      <c r="AN86" s="39"/>
    </row>
    <row r="87" spans="1:40" x14ac:dyDescent="0.25">
      <c r="A87" s="4"/>
      <c r="B87" s="4"/>
      <c r="C87" s="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39"/>
      <c r="AK87" s="39"/>
      <c r="AL87" s="39"/>
      <c r="AM87" s="39"/>
      <c r="AN87" s="39"/>
    </row>
    <row r="88" spans="1:40" x14ac:dyDescent="0.25">
      <c r="A88" s="4"/>
      <c r="B88" s="4"/>
      <c r="C88" s="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39"/>
      <c r="AK88" s="39"/>
      <c r="AL88" s="39"/>
      <c r="AM88" s="39"/>
      <c r="AN88" s="39"/>
    </row>
    <row r="89" spans="1:40" x14ac:dyDescent="0.25">
      <c r="A89" s="4"/>
      <c r="B89" s="4"/>
      <c r="C89" s="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39"/>
      <c r="AK89" s="39"/>
      <c r="AL89" s="39"/>
      <c r="AM89" s="39"/>
      <c r="AN89" s="39"/>
    </row>
    <row r="90" spans="1:40" x14ac:dyDescent="0.25">
      <c r="A90" s="4"/>
      <c r="B90" s="4"/>
      <c r="C90" s="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39"/>
      <c r="AK90" s="39"/>
      <c r="AL90" s="39"/>
      <c r="AM90" s="39"/>
      <c r="AN90" s="39"/>
    </row>
    <row r="91" spans="1:40" x14ac:dyDescent="0.25">
      <c r="A91" s="4"/>
      <c r="B91" s="4"/>
      <c r="C91" s="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39"/>
      <c r="AK91" s="39"/>
      <c r="AL91" s="39"/>
      <c r="AM91" s="39"/>
      <c r="AN91" s="39"/>
    </row>
    <row r="92" spans="1:40" x14ac:dyDescent="0.25">
      <c r="A92" s="4"/>
      <c r="B92" s="4"/>
      <c r="C92" s="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39"/>
      <c r="AK92" s="39"/>
      <c r="AL92" s="39"/>
      <c r="AM92" s="39"/>
      <c r="AN92" s="39"/>
    </row>
    <row r="93" spans="1:40" x14ac:dyDescent="0.25">
      <c r="A93" s="4"/>
      <c r="B93" s="4"/>
      <c r="C93" s="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39"/>
      <c r="AK93" s="39"/>
      <c r="AL93" s="39"/>
      <c r="AM93" s="39"/>
      <c r="AN93" s="39"/>
    </row>
    <row r="94" spans="1:40" x14ac:dyDescent="0.25">
      <c r="A94" s="4"/>
      <c r="B94" s="4"/>
      <c r="C94" s="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39"/>
      <c r="AK94" s="39"/>
      <c r="AL94" s="39"/>
      <c r="AM94" s="39"/>
      <c r="AN94" s="39"/>
    </row>
    <row r="95" spans="1:40" x14ac:dyDescent="0.25">
      <c r="A95" s="4"/>
      <c r="B95" s="4"/>
      <c r="C95" s="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39"/>
      <c r="AK95" s="39"/>
      <c r="AL95" s="39"/>
      <c r="AM95" s="39"/>
      <c r="AN95" s="39"/>
    </row>
    <row r="96" spans="1:40" x14ac:dyDescent="0.25">
      <c r="A96" s="4"/>
      <c r="B96" s="4"/>
      <c r="C96" s="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39"/>
      <c r="AK96" s="39"/>
      <c r="AL96" s="39"/>
      <c r="AM96" s="39"/>
      <c r="AN96" s="39"/>
    </row>
    <row r="97" spans="1:40" x14ac:dyDescent="0.25">
      <c r="A97" s="4"/>
      <c r="B97" s="4"/>
      <c r="C97" s="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39"/>
      <c r="AK97" s="39"/>
      <c r="AL97" s="39"/>
      <c r="AM97" s="39"/>
      <c r="AN97" s="39"/>
    </row>
    <row r="98" spans="1:40" x14ac:dyDescent="0.25">
      <c r="A98" s="4"/>
      <c r="B98" s="4"/>
      <c r="C98" s="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39"/>
      <c r="AK98" s="39"/>
      <c r="AL98" s="39"/>
      <c r="AM98" s="39"/>
      <c r="AN98" s="39"/>
    </row>
    <row r="99" spans="1:40" x14ac:dyDescent="0.25">
      <c r="A99" s="4"/>
      <c r="B99" s="4"/>
      <c r="C99" s="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39"/>
      <c r="AK99" s="39"/>
      <c r="AL99" s="39"/>
      <c r="AM99" s="39"/>
      <c r="AN99" s="39"/>
    </row>
    <row r="100" spans="1:40" x14ac:dyDescent="0.25">
      <c r="A100" s="4"/>
      <c r="B100" s="4"/>
      <c r="C100" s="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39"/>
      <c r="AK100" s="39"/>
      <c r="AL100" s="39"/>
      <c r="AM100" s="39"/>
      <c r="AN100" s="39"/>
    </row>
    <row r="101" spans="1:40" x14ac:dyDescent="0.25">
      <c r="A101" s="4"/>
      <c r="B101" s="4"/>
      <c r="C101" s="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39"/>
      <c r="AK101" s="39"/>
      <c r="AL101" s="39"/>
      <c r="AM101" s="39"/>
      <c r="AN101" s="39"/>
    </row>
    <row r="102" spans="1:40" x14ac:dyDescent="0.25">
      <c r="A102" s="4"/>
      <c r="B102" s="4"/>
      <c r="C102" s="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39"/>
      <c r="AK102" s="39"/>
      <c r="AL102" s="39"/>
      <c r="AM102" s="39"/>
      <c r="AN102" s="39"/>
    </row>
    <row r="103" spans="1:40" x14ac:dyDescent="0.25">
      <c r="A103" s="4"/>
      <c r="B103" s="4"/>
      <c r="C103" s="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39"/>
      <c r="AK103" s="39"/>
      <c r="AL103" s="39"/>
      <c r="AM103" s="39"/>
      <c r="AN103" s="39"/>
    </row>
    <row r="104" spans="1:40" x14ac:dyDescent="0.25">
      <c r="A104" s="4"/>
      <c r="B104" s="4"/>
      <c r="C104" s="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39"/>
      <c r="AK104" s="39"/>
      <c r="AL104" s="39"/>
      <c r="AM104" s="39"/>
      <c r="AN104" s="39"/>
    </row>
    <row r="105" spans="1:40" x14ac:dyDescent="0.25">
      <c r="A105" s="4"/>
      <c r="B105" s="4"/>
      <c r="C105" s="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39"/>
      <c r="AK105" s="39"/>
      <c r="AL105" s="39"/>
      <c r="AM105" s="39"/>
      <c r="AN105" s="39"/>
    </row>
    <row r="106" spans="1:40" x14ac:dyDescent="0.25">
      <c r="A106" s="4"/>
      <c r="B106" s="4"/>
      <c r="C106" s="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39"/>
      <c r="AK106" s="39"/>
      <c r="AL106" s="39"/>
      <c r="AM106" s="39"/>
      <c r="AN106" s="39"/>
    </row>
    <row r="107" spans="1:40" x14ac:dyDescent="0.25">
      <c r="A107" s="4"/>
      <c r="B107" s="4"/>
      <c r="C107" s="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39"/>
      <c r="AK107" s="39"/>
      <c r="AL107" s="39"/>
      <c r="AM107" s="39"/>
      <c r="AN107" s="39"/>
    </row>
    <row r="108" spans="1:40" x14ac:dyDescent="0.25">
      <c r="A108" s="4"/>
      <c r="B108" s="4"/>
      <c r="C108" s="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39"/>
      <c r="AK108" s="39"/>
      <c r="AL108" s="39"/>
      <c r="AM108" s="39"/>
      <c r="AN108" s="39"/>
    </row>
    <row r="109" spans="1:40" x14ac:dyDescent="0.25">
      <c r="A109" s="4"/>
      <c r="B109" s="4"/>
      <c r="C109" s="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39"/>
      <c r="AK109" s="39"/>
      <c r="AL109" s="39"/>
      <c r="AM109" s="39"/>
      <c r="AN109" s="39"/>
    </row>
    <row r="110" spans="1:40" x14ac:dyDescent="0.25">
      <c r="A110" s="4"/>
      <c r="B110" s="4"/>
      <c r="C110" s="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39"/>
      <c r="AK110" s="39"/>
      <c r="AL110" s="39"/>
      <c r="AM110" s="39"/>
      <c r="AN110" s="39"/>
    </row>
    <row r="111" spans="1:40" x14ac:dyDescent="0.25">
      <c r="A111" s="4"/>
      <c r="B111" s="4"/>
      <c r="C111" s="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39"/>
      <c r="AK111" s="39"/>
      <c r="AL111" s="39"/>
      <c r="AM111" s="39"/>
      <c r="AN111" s="39"/>
    </row>
    <row r="112" spans="1:40" x14ac:dyDescent="0.25">
      <c r="A112" s="4"/>
      <c r="B112" s="4"/>
      <c r="C112" s="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39"/>
      <c r="AK112" s="39"/>
      <c r="AL112" s="39"/>
      <c r="AM112" s="39"/>
      <c r="AN112" s="39"/>
    </row>
    <row r="113" spans="1:40" x14ac:dyDescent="0.25">
      <c r="A113" s="4"/>
      <c r="B113" s="4"/>
      <c r="C113" s="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39"/>
      <c r="AK113" s="39"/>
      <c r="AL113" s="39"/>
      <c r="AM113" s="39"/>
      <c r="AN113" s="39"/>
    </row>
    <row r="114" spans="1:40" x14ac:dyDescent="0.25">
      <c r="A114" s="4"/>
      <c r="B114" s="4"/>
      <c r="C114" s="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39"/>
      <c r="AK114" s="39"/>
      <c r="AL114" s="39"/>
      <c r="AM114" s="39"/>
      <c r="AN114" s="39"/>
    </row>
    <row r="115" spans="1:40" x14ac:dyDescent="0.25">
      <c r="A115" s="4"/>
      <c r="B115" s="4"/>
      <c r="C115" s="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39"/>
      <c r="AK115" s="39"/>
      <c r="AL115" s="39"/>
      <c r="AM115" s="39"/>
      <c r="AN115" s="39"/>
    </row>
    <row r="116" spans="1:40" x14ac:dyDescent="0.25">
      <c r="A116" s="4"/>
      <c r="B116" s="4"/>
      <c r="C116" s="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39"/>
      <c r="AK116" s="39"/>
      <c r="AL116" s="39"/>
      <c r="AM116" s="39"/>
      <c r="AN116" s="39"/>
    </row>
    <row r="117" spans="1:40" x14ac:dyDescent="0.25">
      <c r="A117" s="4"/>
      <c r="B117" s="4"/>
      <c r="C117" s="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39"/>
      <c r="AK117" s="39"/>
      <c r="AL117" s="39"/>
      <c r="AM117" s="39"/>
      <c r="AN117" s="39"/>
    </row>
    <row r="118" spans="1:40" x14ac:dyDescent="0.25">
      <c r="A118" s="4"/>
      <c r="B118" s="4"/>
      <c r="C118" s="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39"/>
      <c r="AK118" s="39"/>
      <c r="AL118" s="39"/>
      <c r="AM118" s="39"/>
      <c r="AN118" s="39"/>
    </row>
    <row r="119" spans="1:40" x14ac:dyDescent="0.25">
      <c r="A119" s="4"/>
      <c r="B119" s="4"/>
      <c r="C119" s="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39"/>
      <c r="AK119" s="39"/>
      <c r="AL119" s="39"/>
      <c r="AM119" s="39"/>
      <c r="AN119" s="39"/>
    </row>
    <row r="120" spans="1:40" x14ac:dyDescent="0.25">
      <c r="A120" s="4"/>
      <c r="B120" s="4"/>
      <c r="C120" s="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39"/>
      <c r="AK120" s="39"/>
      <c r="AL120" s="39"/>
      <c r="AM120" s="39"/>
      <c r="AN120" s="39"/>
    </row>
    <row r="121" spans="1:40" x14ac:dyDescent="0.25">
      <c r="A121" s="4"/>
      <c r="B121" s="4"/>
      <c r="C121" s="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39"/>
      <c r="AK121" s="39"/>
      <c r="AL121" s="39"/>
      <c r="AM121" s="39"/>
      <c r="AN121" s="39"/>
    </row>
    <row r="122" spans="1:40" x14ac:dyDescent="0.25">
      <c r="A122" s="4"/>
      <c r="B122" s="4"/>
      <c r="C122" s="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39"/>
      <c r="AK122" s="39"/>
      <c r="AL122" s="39"/>
      <c r="AM122" s="39"/>
      <c r="AN122" s="39"/>
    </row>
    <row r="123" spans="1:40" x14ac:dyDescent="0.25">
      <c r="A123" s="4"/>
      <c r="B123" s="4"/>
      <c r="C123" s="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39"/>
      <c r="AK123" s="39"/>
      <c r="AL123" s="39"/>
      <c r="AM123" s="39"/>
      <c r="AN123" s="39"/>
    </row>
    <row r="124" spans="1:40" x14ac:dyDescent="0.25">
      <c r="A124" s="4"/>
      <c r="B124" s="4"/>
      <c r="C124" s="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39"/>
      <c r="AK124" s="39"/>
      <c r="AL124" s="39"/>
      <c r="AM124" s="39"/>
      <c r="AN124" s="39"/>
    </row>
    <row r="125" spans="1:40" x14ac:dyDescent="0.25">
      <c r="A125" s="4"/>
      <c r="B125" s="4"/>
      <c r="C125" s="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39"/>
      <c r="AK125" s="39"/>
      <c r="AL125" s="39"/>
      <c r="AM125" s="39"/>
      <c r="AN125" s="39"/>
    </row>
    <row r="126" spans="1:40" x14ac:dyDescent="0.25">
      <c r="A126" s="4"/>
      <c r="B126" s="4"/>
      <c r="C126" s="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39"/>
      <c r="AK126" s="39"/>
      <c r="AL126" s="39"/>
      <c r="AM126" s="39"/>
      <c r="AN126" s="39"/>
    </row>
    <row r="127" spans="1:40" x14ac:dyDescent="0.25">
      <c r="A127" s="4"/>
      <c r="B127" s="4"/>
      <c r="C127" s="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39"/>
      <c r="AK127" s="39"/>
      <c r="AL127" s="39"/>
      <c r="AM127" s="39"/>
      <c r="AN127" s="39"/>
    </row>
    <row r="128" spans="1:40" x14ac:dyDescent="0.25">
      <c r="A128" s="4"/>
      <c r="B128" s="4"/>
      <c r="C128" s="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39"/>
      <c r="AK128" s="39"/>
      <c r="AL128" s="39"/>
      <c r="AM128" s="39"/>
      <c r="AN128" s="39"/>
    </row>
    <row r="129" spans="1:40" x14ac:dyDescent="0.25">
      <c r="A129" s="4"/>
      <c r="B129" s="4"/>
      <c r="C129" s="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39"/>
      <c r="AK129" s="39"/>
      <c r="AL129" s="39"/>
      <c r="AM129" s="39"/>
      <c r="AN129" s="39"/>
    </row>
    <row r="130" spans="1:40" x14ac:dyDescent="0.25">
      <c r="A130" s="4"/>
      <c r="B130" s="4"/>
      <c r="C130" s="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39"/>
      <c r="AK130" s="39"/>
      <c r="AL130" s="39"/>
      <c r="AM130" s="39"/>
      <c r="AN130" s="39"/>
    </row>
    <row r="131" spans="1:40" x14ac:dyDescent="0.25">
      <c r="A131" s="4"/>
      <c r="B131" s="4"/>
      <c r="C131" s="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39"/>
      <c r="AK131" s="39"/>
      <c r="AL131" s="39"/>
      <c r="AM131" s="39"/>
      <c r="AN131" s="39"/>
    </row>
    <row r="132" spans="1:40" x14ac:dyDescent="0.25">
      <c r="A132" s="4"/>
      <c r="B132" s="4"/>
      <c r="C132" s="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39"/>
      <c r="AK132" s="39"/>
      <c r="AL132" s="39"/>
      <c r="AM132" s="39"/>
      <c r="AN132" s="39"/>
    </row>
    <row r="133" spans="1:40" x14ac:dyDescent="0.25">
      <c r="A133" s="4"/>
      <c r="B133" s="4"/>
      <c r="C133" s="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39"/>
      <c r="AK133" s="39"/>
      <c r="AL133" s="39"/>
      <c r="AM133" s="39"/>
      <c r="AN133" s="39"/>
    </row>
    <row r="134" spans="1:40" x14ac:dyDescent="0.25">
      <c r="A134" s="4"/>
      <c r="B134" s="4"/>
      <c r="C134" s="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39"/>
      <c r="AK134" s="39"/>
      <c r="AL134" s="39"/>
      <c r="AM134" s="39"/>
      <c r="AN134" s="39"/>
    </row>
    <row r="135" spans="1:40" x14ac:dyDescent="0.25">
      <c r="A135" s="4"/>
      <c r="B135" s="4"/>
      <c r="C135" s="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39"/>
      <c r="AK135" s="39"/>
      <c r="AL135" s="39"/>
      <c r="AM135" s="39"/>
      <c r="AN135" s="39"/>
    </row>
    <row r="136" spans="1:40" x14ac:dyDescent="0.25">
      <c r="A136" s="4"/>
      <c r="B136" s="4"/>
      <c r="C136" s="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39"/>
      <c r="AK136" s="39"/>
      <c r="AL136" s="39"/>
      <c r="AM136" s="39"/>
      <c r="AN136" s="39"/>
    </row>
    <row r="137" spans="1:40" x14ac:dyDescent="0.25">
      <c r="A137" s="4"/>
      <c r="B137" s="4"/>
      <c r="C137" s="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39"/>
      <c r="AK137" s="39"/>
      <c r="AL137" s="39"/>
      <c r="AM137" s="39"/>
      <c r="AN137" s="39"/>
    </row>
    <row r="138" spans="1:40" x14ac:dyDescent="0.25">
      <c r="A138" s="4"/>
      <c r="B138" s="4"/>
      <c r="C138" s="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39"/>
      <c r="AK138" s="39"/>
      <c r="AL138" s="39"/>
      <c r="AM138" s="39"/>
      <c r="AN138" s="39"/>
    </row>
    <row r="139" spans="1:40" x14ac:dyDescent="0.25">
      <c r="A139" s="4"/>
      <c r="B139" s="4"/>
      <c r="C139" s="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39"/>
      <c r="AK139" s="39"/>
      <c r="AL139" s="39"/>
      <c r="AM139" s="39"/>
      <c r="AN139" s="39"/>
    </row>
    <row r="140" spans="1:40" x14ac:dyDescent="0.25">
      <c r="A140" s="4"/>
      <c r="B140" s="4"/>
      <c r="C140" s="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39"/>
      <c r="AK140" s="39"/>
      <c r="AL140" s="39"/>
      <c r="AM140" s="39"/>
      <c r="AN140" s="39"/>
    </row>
    <row r="141" spans="1:40" x14ac:dyDescent="0.25">
      <c r="A141" s="4"/>
      <c r="B141" s="4"/>
      <c r="C141" s="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39"/>
      <c r="AK141" s="39"/>
      <c r="AL141" s="39"/>
      <c r="AM141" s="39"/>
      <c r="AN141" s="39"/>
    </row>
    <row r="142" spans="1:40" x14ac:dyDescent="0.25">
      <c r="A142" s="4"/>
      <c r="B142" s="4"/>
      <c r="C142" s="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39"/>
      <c r="AK142" s="39"/>
      <c r="AL142" s="39"/>
      <c r="AM142" s="39"/>
      <c r="AN142" s="39"/>
    </row>
    <row r="143" spans="1:40" x14ac:dyDescent="0.25">
      <c r="A143" s="4"/>
      <c r="B143" s="4"/>
      <c r="C143" s="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39"/>
      <c r="AK143" s="39"/>
      <c r="AL143" s="39"/>
      <c r="AM143" s="39"/>
      <c r="AN143" s="39"/>
    </row>
    <row r="144" spans="1:40" x14ac:dyDescent="0.25">
      <c r="A144" s="4"/>
      <c r="B144" s="4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39"/>
      <c r="AK144" s="39"/>
      <c r="AL144" s="39"/>
      <c r="AM144" s="39"/>
      <c r="AN144" s="39"/>
    </row>
    <row r="145" spans="1:40" x14ac:dyDescent="0.25">
      <c r="A145" s="4"/>
      <c r="B145" s="4"/>
      <c r="C145" s="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39"/>
      <c r="AK145" s="39"/>
      <c r="AL145" s="39"/>
      <c r="AM145" s="39"/>
      <c r="AN145" s="39"/>
    </row>
    <row r="146" spans="1:40" x14ac:dyDescent="0.25">
      <c r="A146" s="4"/>
      <c r="B146" s="4"/>
      <c r="C146" s="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39"/>
      <c r="AK146" s="39"/>
      <c r="AL146" s="39"/>
      <c r="AM146" s="39"/>
      <c r="AN146" s="39"/>
    </row>
    <row r="147" spans="1:40" x14ac:dyDescent="0.25">
      <c r="A147" s="4"/>
      <c r="B147" s="4"/>
      <c r="C147" s="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39"/>
      <c r="AK147" s="39"/>
      <c r="AL147" s="39"/>
      <c r="AM147" s="39"/>
      <c r="AN147" s="39"/>
    </row>
    <row r="148" spans="1:40" x14ac:dyDescent="0.25">
      <c r="A148" s="4"/>
      <c r="B148" s="4"/>
      <c r="C148" s="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39"/>
      <c r="AK148" s="39"/>
      <c r="AL148" s="39"/>
      <c r="AM148" s="39"/>
      <c r="AN148" s="39"/>
    </row>
    <row r="149" spans="1:40" x14ac:dyDescent="0.25">
      <c r="A149" s="4"/>
      <c r="B149" s="4"/>
      <c r="C149" s="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39"/>
      <c r="AK149" s="39"/>
      <c r="AL149" s="39"/>
      <c r="AM149" s="39"/>
      <c r="AN149" s="39"/>
    </row>
    <row r="150" spans="1:40" x14ac:dyDescent="0.25">
      <c r="A150" s="4"/>
      <c r="B150" s="4"/>
      <c r="C150" s="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39"/>
      <c r="AK150" s="39"/>
      <c r="AL150" s="39"/>
      <c r="AM150" s="39"/>
      <c r="AN150" s="39"/>
    </row>
    <row r="151" spans="1:40" x14ac:dyDescent="0.25">
      <c r="A151" s="4"/>
      <c r="B151" s="4"/>
      <c r="C151" s="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39"/>
      <c r="AK151" s="39"/>
      <c r="AL151" s="39"/>
      <c r="AM151" s="39"/>
      <c r="AN151" s="39"/>
    </row>
    <row r="152" spans="1:40" x14ac:dyDescent="0.25">
      <c r="A152" s="4"/>
      <c r="B152" s="4"/>
      <c r="C152" s="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39"/>
      <c r="AK152" s="39"/>
      <c r="AL152" s="39"/>
      <c r="AM152" s="39"/>
      <c r="AN152" s="39"/>
    </row>
    <row r="153" spans="1:40" x14ac:dyDescent="0.25">
      <c r="A153" s="4"/>
      <c r="B153" s="4"/>
      <c r="C153" s="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39"/>
      <c r="AK153" s="39"/>
      <c r="AL153" s="39"/>
      <c r="AM153" s="39"/>
      <c r="AN153" s="39"/>
    </row>
    <row r="154" spans="1:40" x14ac:dyDescent="0.25">
      <c r="A154" s="4"/>
      <c r="B154" s="4"/>
      <c r="C154" s="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39"/>
      <c r="AK154" s="39"/>
      <c r="AL154" s="39"/>
      <c r="AM154" s="39"/>
      <c r="AN154" s="39"/>
    </row>
    <row r="155" spans="1:40" x14ac:dyDescent="0.25">
      <c r="A155" s="4"/>
      <c r="B155" s="4"/>
      <c r="C155" s="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39"/>
      <c r="AK155" s="39"/>
      <c r="AL155" s="39"/>
      <c r="AM155" s="39"/>
      <c r="AN155" s="39"/>
    </row>
    <row r="156" spans="1:40" x14ac:dyDescent="0.25">
      <c r="A156" s="4"/>
      <c r="B156" s="4"/>
      <c r="C156" s="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39"/>
      <c r="AK156" s="39"/>
      <c r="AL156" s="39"/>
      <c r="AM156" s="39"/>
      <c r="AN156" s="39"/>
    </row>
    <row r="157" spans="1:40" x14ac:dyDescent="0.25">
      <c r="A157" s="4"/>
      <c r="B157" s="4"/>
      <c r="C157" s="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39"/>
      <c r="AK157" s="39"/>
      <c r="AL157" s="39"/>
      <c r="AM157" s="39"/>
      <c r="AN157" s="39"/>
    </row>
    <row r="158" spans="1:40" x14ac:dyDescent="0.25">
      <c r="A158" s="4"/>
      <c r="B158" s="4"/>
      <c r="C158" s="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39"/>
      <c r="AK158" s="39"/>
      <c r="AL158" s="39"/>
      <c r="AM158" s="39"/>
      <c r="AN158" s="39"/>
    </row>
    <row r="159" spans="1:40" x14ac:dyDescent="0.25">
      <c r="A159" s="4"/>
      <c r="B159" s="4"/>
      <c r="C159" s="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39"/>
      <c r="AK159" s="39"/>
      <c r="AL159" s="39"/>
      <c r="AM159" s="39"/>
      <c r="AN159" s="39"/>
    </row>
    <row r="160" spans="1:40" x14ac:dyDescent="0.25">
      <c r="A160" s="4"/>
      <c r="B160" s="4"/>
      <c r="C160" s="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39"/>
      <c r="AK160" s="39"/>
      <c r="AL160" s="39"/>
      <c r="AM160" s="39"/>
      <c r="AN160" s="39"/>
    </row>
    <row r="161" spans="1:40" x14ac:dyDescent="0.25">
      <c r="A161" s="4"/>
      <c r="B161" s="4"/>
      <c r="C161" s="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39"/>
      <c r="AK161" s="39"/>
      <c r="AL161" s="39"/>
      <c r="AM161" s="39"/>
      <c r="AN161" s="39"/>
    </row>
    <row r="162" spans="1:40" x14ac:dyDescent="0.25">
      <c r="A162" s="4"/>
      <c r="B162" s="4"/>
      <c r="C162" s="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39"/>
      <c r="AK162" s="39"/>
      <c r="AL162" s="39"/>
      <c r="AM162" s="39"/>
      <c r="AN162" s="39"/>
    </row>
    <row r="163" spans="1:40" x14ac:dyDescent="0.25">
      <c r="A163" s="4"/>
      <c r="B163" s="4"/>
      <c r="C163" s="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39"/>
      <c r="AK163" s="39"/>
      <c r="AL163" s="39"/>
      <c r="AM163" s="39"/>
      <c r="AN163" s="39"/>
    </row>
    <row r="164" spans="1:40" x14ac:dyDescent="0.25">
      <c r="A164" s="4"/>
      <c r="B164" s="4"/>
      <c r="C164" s="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39"/>
      <c r="AK164" s="39"/>
      <c r="AL164" s="39"/>
      <c r="AM164" s="39"/>
      <c r="AN164" s="39"/>
    </row>
    <row r="165" spans="1:40" x14ac:dyDescent="0.25">
      <c r="A165" s="4"/>
      <c r="B165" s="4"/>
      <c r="C165" s="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39"/>
      <c r="AK165" s="39"/>
      <c r="AL165" s="39"/>
      <c r="AM165" s="39"/>
      <c r="AN165" s="39"/>
    </row>
    <row r="166" spans="1:40" x14ac:dyDescent="0.25">
      <c r="A166" s="4"/>
      <c r="B166" s="4"/>
      <c r="C166" s="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39"/>
      <c r="AK166" s="39"/>
      <c r="AL166" s="39"/>
      <c r="AM166" s="39"/>
      <c r="AN166" s="39"/>
    </row>
    <row r="167" spans="1:40" x14ac:dyDescent="0.25">
      <c r="A167" s="4"/>
      <c r="B167" s="4"/>
      <c r="C167" s="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39"/>
      <c r="AK167" s="39"/>
      <c r="AL167" s="39"/>
      <c r="AM167" s="39"/>
      <c r="AN167" s="39"/>
    </row>
    <row r="168" spans="1:40" x14ac:dyDescent="0.25">
      <c r="A168" s="4"/>
      <c r="B168" s="4"/>
      <c r="C168" s="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39"/>
      <c r="AK168" s="39"/>
      <c r="AL168" s="39"/>
      <c r="AM168" s="39"/>
      <c r="AN168" s="39"/>
    </row>
    <row r="169" spans="1:40" x14ac:dyDescent="0.25">
      <c r="A169" s="4"/>
      <c r="B169" s="4"/>
      <c r="C169" s="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39"/>
      <c r="AK169" s="39"/>
      <c r="AL169" s="39"/>
      <c r="AM169" s="39"/>
      <c r="AN169" s="39"/>
    </row>
    <row r="170" spans="1:40" x14ac:dyDescent="0.25">
      <c r="A170" s="4"/>
      <c r="B170" s="4"/>
      <c r="C170" s="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39"/>
      <c r="AK170" s="39"/>
      <c r="AL170" s="39"/>
      <c r="AM170" s="39"/>
      <c r="AN170" s="39"/>
    </row>
    <row r="171" spans="1:40" x14ac:dyDescent="0.25">
      <c r="A171" s="4"/>
      <c r="B171" s="4"/>
      <c r="C171" s="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39"/>
      <c r="AK171" s="39"/>
      <c r="AL171" s="39"/>
      <c r="AM171" s="39"/>
      <c r="AN171" s="39"/>
    </row>
    <row r="172" spans="1:40" x14ac:dyDescent="0.25">
      <c r="A172" s="4"/>
      <c r="B172" s="4"/>
      <c r="C172" s="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39"/>
      <c r="AK172" s="39"/>
      <c r="AL172" s="39"/>
      <c r="AM172" s="39"/>
      <c r="AN172" s="39"/>
    </row>
    <row r="173" spans="1:40" x14ac:dyDescent="0.25">
      <c r="A173" s="4"/>
      <c r="B173" s="4"/>
      <c r="C173" s="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39"/>
      <c r="AK173" s="39"/>
      <c r="AL173" s="39"/>
      <c r="AM173" s="39"/>
      <c r="AN173" s="39"/>
    </row>
    <row r="174" spans="1:40" x14ac:dyDescent="0.25">
      <c r="A174" s="4"/>
      <c r="B174" s="4"/>
      <c r="C174" s="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39"/>
      <c r="AK174" s="39"/>
      <c r="AL174" s="39"/>
      <c r="AM174" s="39"/>
      <c r="AN174" s="39"/>
    </row>
    <row r="175" spans="1:40" x14ac:dyDescent="0.25">
      <c r="A175" s="4"/>
      <c r="B175" s="4"/>
      <c r="C175" s="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39"/>
      <c r="AK175" s="39"/>
      <c r="AL175" s="39"/>
      <c r="AM175" s="39"/>
      <c r="AN175" s="39"/>
    </row>
    <row r="176" spans="1:40" x14ac:dyDescent="0.25">
      <c r="A176" s="4"/>
      <c r="B176" s="4"/>
      <c r="C176" s="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39"/>
      <c r="AK176" s="39"/>
      <c r="AL176" s="39"/>
      <c r="AM176" s="39"/>
      <c r="AN176" s="39"/>
    </row>
    <row r="177" spans="1:40" x14ac:dyDescent="0.25">
      <c r="A177" s="4"/>
      <c r="B177" s="4"/>
      <c r="C177" s="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39"/>
      <c r="AK177" s="39"/>
      <c r="AL177" s="39"/>
      <c r="AM177" s="39"/>
      <c r="AN177" s="39"/>
    </row>
    <row r="178" spans="1:40" x14ac:dyDescent="0.25">
      <c r="A178" s="4"/>
      <c r="B178" s="4"/>
      <c r="C178" s="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39"/>
      <c r="AK178" s="39"/>
      <c r="AL178" s="39"/>
      <c r="AM178" s="39"/>
      <c r="AN178" s="39"/>
    </row>
    <row r="179" spans="1:40" x14ac:dyDescent="0.25">
      <c r="A179" s="4"/>
      <c r="B179" s="4"/>
      <c r="C179" s="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39"/>
      <c r="AK179" s="39"/>
      <c r="AL179" s="39"/>
      <c r="AM179" s="39"/>
      <c r="AN179" s="39"/>
    </row>
    <row r="180" spans="1:40" x14ac:dyDescent="0.25">
      <c r="A180" s="4"/>
      <c r="B180" s="4"/>
      <c r="C180" s="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39"/>
      <c r="AK180" s="39"/>
      <c r="AL180" s="39"/>
      <c r="AM180" s="39"/>
      <c r="AN180" s="39"/>
    </row>
    <row r="181" spans="1:40" x14ac:dyDescent="0.25">
      <c r="A181" s="4"/>
      <c r="B181" s="4"/>
      <c r="C181" s="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39"/>
      <c r="AK181" s="39"/>
      <c r="AL181" s="39"/>
      <c r="AM181" s="39"/>
      <c r="AN181" s="39"/>
    </row>
    <row r="182" spans="1:40" x14ac:dyDescent="0.25">
      <c r="A182" s="4"/>
      <c r="B182" s="4"/>
      <c r="C182" s="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39"/>
      <c r="AK182" s="39"/>
      <c r="AL182" s="39"/>
      <c r="AM182" s="39"/>
      <c r="AN182" s="39"/>
    </row>
    <row r="183" spans="1:40" x14ac:dyDescent="0.25">
      <c r="A183" s="4"/>
      <c r="B183" s="4"/>
      <c r="C183" s="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39"/>
      <c r="AK183" s="39"/>
      <c r="AL183" s="39"/>
      <c r="AM183" s="39"/>
      <c r="AN183" s="39"/>
    </row>
    <row r="184" spans="1:40" x14ac:dyDescent="0.25">
      <c r="A184" s="4"/>
      <c r="B184" s="4"/>
      <c r="C184" s="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39"/>
      <c r="AK184" s="39"/>
      <c r="AL184" s="39"/>
      <c r="AM184" s="39"/>
      <c r="AN184" s="39"/>
    </row>
    <row r="185" spans="1:40" x14ac:dyDescent="0.25">
      <c r="A185" s="4"/>
      <c r="B185" s="4"/>
      <c r="C185" s="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39"/>
      <c r="AK185" s="39"/>
      <c r="AL185" s="39"/>
      <c r="AM185" s="39"/>
      <c r="AN185" s="39"/>
    </row>
    <row r="186" spans="1:40" x14ac:dyDescent="0.25">
      <c r="A186" s="4"/>
      <c r="B186" s="4"/>
      <c r="C186" s="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39"/>
      <c r="AK186" s="39"/>
      <c r="AL186" s="39"/>
      <c r="AM186" s="39"/>
      <c r="AN186" s="39"/>
    </row>
    <row r="187" spans="1:40" x14ac:dyDescent="0.25">
      <c r="A187" s="4"/>
      <c r="B187" s="4"/>
      <c r="C187" s="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39"/>
      <c r="AK187" s="39"/>
      <c r="AL187" s="39"/>
      <c r="AM187" s="39"/>
      <c r="AN187" s="39"/>
    </row>
    <row r="188" spans="1:40" x14ac:dyDescent="0.25">
      <c r="A188" s="4"/>
      <c r="B188" s="4"/>
      <c r="C188" s="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39"/>
      <c r="AK188" s="39"/>
      <c r="AL188" s="39"/>
      <c r="AM188" s="39"/>
      <c r="AN188" s="39"/>
    </row>
    <row r="189" spans="1:40" x14ac:dyDescent="0.25">
      <c r="A189" s="4"/>
      <c r="B189" s="4"/>
      <c r="C189" s="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39"/>
      <c r="AK189" s="39"/>
      <c r="AL189" s="39"/>
      <c r="AM189" s="39"/>
      <c r="AN189" s="39"/>
    </row>
    <row r="190" spans="1:40" x14ac:dyDescent="0.25">
      <c r="A190" s="4"/>
      <c r="B190" s="4"/>
      <c r="C190" s="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39"/>
      <c r="AK190" s="39"/>
      <c r="AL190" s="39"/>
      <c r="AM190" s="39"/>
      <c r="AN190" s="39"/>
    </row>
    <row r="191" spans="1:40" x14ac:dyDescent="0.25">
      <c r="A191" s="4"/>
      <c r="B191" s="4"/>
      <c r="C191" s="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39"/>
      <c r="AK191" s="39"/>
      <c r="AL191" s="39"/>
      <c r="AM191" s="39"/>
      <c r="AN191" s="39"/>
    </row>
    <row r="192" spans="1:40" x14ac:dyDescent="0.25">
      <c r="A192" s="4"/>
      <c r="B192" s="4"/>
      <c r="C192" s="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39"/>
      <c r="AK192" s="39"/>
      <c r="AL192" s="39"/>
      <c r="AM192" s="39"/>
      <c r="AN192" s="39"/>
    </row>
    <row r="193" spans="1:40" x14ac:dyDescent="0.25">
      <c r="A193" s="4"/>
      <c r="B193" s="4"/>
      <c r="C193" s="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39"/>
      <c r="AK193" s="39"/>
      <c r="AL193" s="39"/>
      <c r="AM193" s="39"/>
      <c r="AN193" s="39"/>
    </row>
    <row r="194" spans="1:40" x14ac:dyDescent="0.25">
      <c r="A194" s="4"/>
      <c r="B194" s="4"/>
      <c r="C194" s="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39"/>
      <c r="AK194" s="39"/>
      <c r="AL194" s="39"/>
      <c r="AM194" s="39"/>
      <c r="AN194" s="39"/>
    </row>
    <row r="195" spans="1:40" x14ac:dyDescent="0.25">
      <c r="A195" s="4"/>
      <c r="B195" s="4"/>
      <c r="C195" s="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39"/>
      <c r="AK195" s="39"/>
      <c r="AL195" s="39"/>
      <c r="AM195" s="39"/>
      <c r="AN195" s="39"/>
    </row>
    <row r="196" spans="1:40" x14ac:dyDescent="0.25">
      <c r="A196" s="4"/>
      <c r="B196" s="4"/>
      <c r="C196" s="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39"/>
      <c r="AK196" s="39"/>
      <c r="AL196" s="39"/>
      <c r="AM196" s="39"/>
      <c r="AN196" s="39"/>
    </row>
    <row r="197" spans="1:40" x14ac:dyDescent="0.25">
      <c r="A197" s="4"/>
      <c r="B197" s="4"/>
      <c r="C197" s="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39"/>
      <c r="AK197" s="39"/>
      <c r="AL197" s="39"/>
      <c r="AM197" s="39"/>
      <c r="AN197" s="39"/>
    </row>
    <row r="198" spans="1:40" x14ac:dyDescent="0.25">
      <c r="A198" s="4"/>
      <c r="B198" s="4"/>
      <c r="C198" s="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39"/>
      <c r="AK198" s="39"/>
      <c r="AL198" s="39"/>
      <c r="AM198" s="39"/>
      <c r="AN198" s="39"/>
    </row>
    <row r="199" spans="1:40" x14ac:dyDescent="0.25">
      <c r="A199" s="4"/>
      <c r="B199" s="4"/>
      <c r="C199" s="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39"/>
      <c r="AK199" s="39"/>
      <c r="AL199" s="39"/>
      <c r="AM199" s="39"/>
      <c r="AN199" s="39"/>
    </row>
    <row r="200" spans="1:40" x14ac:dyDescent="0.25">
      <c r="A200" s="4"/>
      <c r="B200" s="4"/>
      <c r="C200" s="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39"/>
      <c r="AK200" s="39"/>
      <c r="AL200" s="39"/>
      <c r="AM200" s="39"/>
      <c r="AN200" s="39"/>
    </row>
    <row r="201" spans="1:40" x14ac:dyDescent="0.25">
      <c r="A201" s="4"/>
      <c r="B201" s="4"/>
      <c r="C201" s="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39"/>
      <c r="AK201" s="39"/>
      <c r="AL201" s="39"/>
      <c r="AM201" s="39"/>
      <c r="AN201" s="39"/>
    </row>
    <row r="202" spans="1:40" x14ac:dyDescent="0.25">
      <c r="A202" s="4"/>
      <c r="B202" s="4"/>
      <c r="C202" s="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39"/>
      <c r="AK202" s="39"/>
      <c r="AL202" s="39"/>
      <c r="AM202" s="39"/>
      <c r="AN202" s="39"/>
    </row>
    <row r="203" spans="1:40" x14ac:dyDescent="0.25">
      <c r="A203" s="4"/>
      <c r="B203" s="4"/>
      <c r="C203" s="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39"/>
      <c r="AK203" s="39"/>
      <c r="AL203" s="39"/>
      <c r="AM203" s="39"/>
      <c r="AN203" s="39"/>
    </row>
    <row r="204" spans="1:40" x14ac:dyDescent="0.25">
      <c r="A204" s="4"/>
      <c r="B204" s="4"/>
      <c r="C204" s="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39"/>
      <c r="AK204" s="39"/>
      <c r="AL204" s="39"/>
      <c r="AM204" s="39"/>
      <c r="AN204" s="39"/>
    </row>
    <row r="205" spans="1:40" x14ac:dyDescent="0.25">
      <c r="C205" s="9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40" x14ac:dyDescent="0.25">
      <c r="C206" s="9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40" x14ac:dyDescent="0.25">
      <c r="C207" s="9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40" x14ac:dyDescent="0.25">
      <c r="C208" s="9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41" x14ac:dyDescent="0.25">
      <c r="C209" s="9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41" x14ac:dyDescent="0.25">
      <c r="C210" s="9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41" x14ac:dyDescent="0.25">
      <c r="C211" s="9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41" s="40" customFormat="1" x14ac:dyDescent="0.25">
      <c r="A212" s="1"/>
      <c r="B212" s="1"/>
      <c r="C212" s="9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O212"/>
    </row>
    <row r="213" spans="1:41" s="40" customFormat="1" x14ac:dyDescent="0.25">
      <c r="A213" s="1"/>
      <c r="B213" s="1"/>
      <c r="C213" s="9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O213"/>
    </row>
    <row r="214" spans="1:41" s="40" customFormat="1" x14ac:dyDescent="0.25">
      <c r="A214" s="1"/>
      <c r="B214" s="1"/>
      <c r="C214" s="9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O214"/>
    </row>
    <row r="215" spans="1:41" s="40" customFormat="1" x14ac:dyDescent="0.25">
      <c r="A215" s="1"/>
      <c r="B215" s="1"/>
      <c r="C215" s="9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O215"/>
    </row>
    <row r="216" spans="1:41" s="40" customFormat="1" x14ac:dyDescent="0.25">
      <c r="A216" s="1"/>
      <c r="B216" s="1"/>
      <c r="C216" s="9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O216"/>
    </row>
    <row r="217" spans="1:41" s="40" customFormat="1" x14ac:dyDescent="0.25">
      <c r="A217" s="1"/>
      <c r="B217" s="1"/>
      <c r="C217" s="9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O217"/>
    </row>
    <row r="218" spans="1:41" s="40" customFormat="1" x14ac:dyDescent="0.25">
      <c r="A218" s="1"/>
      <c r="B218" s="1"/>
      <c r="C218" s="9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O218"/>
    </row>
    <row r="219" spans="1:41" s="40" customFormat="1" x14ac:dyDescent="0.25">
      <c r="A219" s="1"/>
      <c r="B219" s="1"/>
      <c r="C219" s="9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O219"/>
    </row>
    <row r="220" spans="1:41" s="40" customFormat="1" x14ac:dyDescent="0.25">
      <c r="A220" s="1"/>
      <c r="B220" s="1"/>
      <c r="C220" s="9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O220"/>
    </row>
    <row r="221" spans="1:41" s="40" customFormat="1" x14ac:dyDescent="0.25">
      <c r="A221" s="1"/>
      <c r="B221" s="1"/>
      <c r="C221" s="9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O221"/>
    </row>
    <row r="222" spans="1:41" s="40" customFormat="1" x14ac:dyDescent="0.25">
      <c r="A222" s="1"/>
      <c r="B222" s="1"/>
      <c r="C222" s="9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O222"/>
    </row>
    <row r="223" spans="1:41" s="40" customFormat="1" x14ac:dyDescent="0.25">
      <c r="A223" s="1"/>
      <c r="B223" s="1"/>
      <c r="C223" s="9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O223"/>
    </row>
    <row r="224" spans="1:41" s="40" customFormat="1" x14ac:dyDescent="0.25">
      <c r="A224" s="1"/>
      <c r="B224" s="1"/>
      <c r="C224" s="9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O224"/>
    </row>
    <row r="225" spans="1:41" s="40" customFormat="1" x14ac:dyDescent="0.25">
      <c r="A225" s="1"/>
      <c r="B225" s="1"/>
      <c r="C225" s="9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O225"/>
    </row>
    <row r="226" spans="1:41" s="40" customFormat="1" x14ac:dyDescent="0.25">
      <c r="A226" s="1"/>
      <c r="B226" s="1"/>
      <c r="C226" s="9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O226"/>
    </row>
    <row r="227" spans="1:41" s="40" customFormat="1" x14ac:dyDescent="0.25">
      <c r="A227" s="1"/>
      <c r="B227" s="1"/>
      <c r="C227" s="9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O227"/>
    </row>
    <row r="228" spans="1:41" s="40" customFormat="1" x14ac:dyDescent="0.25">
      <c r="A228" s="1"/>
      <c r="B228" s="1"/>
      <c r="C228" s="9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O228"/>
    </row>
    <row r="229" spans="1:41" s="40" customFormat="1" x14ac:dyDescent="0.25">
      <c r="A229" s="1"/>
      <c r="B229" s="1"/>
      <c r="C229" s="9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O229"/>
    </row>
    <row r="230" spans="1:41" s="40" customFormat="1" x14ac:dyDescent="0.25">
      <c r="A230" s="1"/>
      <c r="B230" s="1"/>
      <c r="C230" s="9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O230"/>
    </row>
    <row r="231" spans="1:41" s="40" customFormat="1" x14ac:dyDescent="0.25">
      <c r="A231" s="1"/>
      <c r="B231" s="1"/>
      <c r="C231" s="9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O231"/>
    </row>
    <row r="232" spans="1:41" s="40" customFormat="1" x14ac:dyDescent="0.25">
      <c r="A232" s="1"/>
      <c r="B232" s="1"/>
      <c r="C232" s="9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O232"/>
    </row>
    <row r="233" spans="1:41" s="40" customFormat="1" x14ac:dyDescent="0.25">
      <c r="A233" s="1"/>
      <c r="B233" s="1"/>
      <c r="C233" s="9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O233"/>
    </row>
    <row r="234" spans="1:41" s="40" customFormat="1" x14ac:dyDescent="0.25">
      <c r="A234" s="1"/>
      <c r="B234" s="1"/>
      <c r="C234" s="9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O234"/>
    </row>
    <row r="235" spans="1:41" s="40" customFormat="1" x14ac:dyDescent="0.25">
      <c r="A235" s="1"/>
      <c r="B235" s="1"/>
      <c r="C235" s="9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O235"/>
    </row>
    <row r="236" spans="1:41" s="40" customFormat="1" x14ac:dyDescent="0.25">
      <c r="A236" s="1"/>
      <c r="B236" s="1"/>
      <c r="C236" s="9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O236"/>
    </row>
    <row r="237" spans="1:41" s="40" customFormat="1" x14ac:dyDescent="0.25">
      <c r="A237" s="1"/>
      <c r="B237" s="1"/>
      <c r="C237" s="9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O237"/>
    </row>
    <row r="238" spans="1:41" s="40" customFormat="1" x14ac:dyDescent="0.25">
      <c r="A238" s="1"/>
      <c r="B238" s="1"/>
      <c r="C238" s="9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O238"/>
    </row>
    <row r="239" spans="1:41" s="40" customFormat="1" x14ac:dyDescent="0.25">
      <c r="A239" s="1"/>
      <c r="B239" s="1"/>
      <c r="C239" s="9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O239"/>
    </row>
    <row r="240" spans="1:41" s="40" customFormat="1" x14ac:dyDescent="0.25">
      <c r="A240" s="1"/>
      <c r="B240" s="1"/>
      <c r="C240" s="9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O240"/>
    </row>
    <row r="241" spans="1:41" s="40" customFormat="1" x14ac:dyDescent="0.25">
      <c r="A241" s="1"/>
      <c r="B241" s="1"/>
      <c r="C241" s="9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O241"/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</hyperlinks>
  <pageMargins left="0.511811024" right="0.511811024" top="0.78740157499999996" bottom="0.78740157499999996" header="0.31496062000000002" footer="0.31496062000000002"/>
  <pageSetup paperSize="119" orientation="portrait" r:id="rId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0"/>
  <sheetViews>
    <sheetView tabSelected="1" zoomScale="63" zoomScaleNormal="63" workbookViewId="0">
      <pane ySplit="1" topLeftCell="A17" activePane="bottomLeft" state="frozen"/>
      <selection pane="bottomLeft" activeCell="T48" sqref="T48:W48"/>
    </sheetView>
  </sheetViews>
  <sheetFormatPr defaultRowHeight="15" x14ac:dyDescent="0.25"/>
  <cols>
    <col min="1" max="1" width="27.7109375" style="1" customWidth="1"/>
    <col min="2" max="2" width="25" style="1" customWidth="1"/>
    <col min="3" max="3" width="40.85546875" style="1" customWidth="1"/>
    <col min="4" max="5" width="22.28515625" customWidth="1"/>
    <col min="6" max="6" width="21.28515625" customWidth="1"/>
    <col min="7" max="7" width="21.140625" customWidth="1"/>
    <col min="8" max="23" width="17.85546875" customWidth="1"/>
    <col min="24" max="27" width="17.85546875" hidden="1" customWidth="1"/>
    <col min="28" max="35" width="17.85546875" customWidth="1"/>
    <col min="36" max="37" width="15.5703125" style="40" customWidth="1"/>
    <col min="38" max="38" width="24.7109375" style="40" customWidth="1"/>
    <col min="39" max="39" width="11.5703125" style="40" customWidth="1"/>
    <col min="40" max="40" width="22.140625" style="40" bestFit="1" customWidth="1"/>
  </cols>
  <sheetData>
    <row r="1" spans="1:41" s="3" customFormat="1" ht="213" customHeight="1" thickBot="1" x14ac:dyDescent="0.3">
      <c r="A1" s="6" t="s">
        <v>12</v>
      </c>
      <c r="B1" s="7" t="s">
        <v>0</v>
      </c>
      <c r="C1" s="2" t="s">
        <v>364</v>
      </c>
      <c r="D1" s="2" t="s">
        <v>343</v>
      </c>
      <c r="E1" s="2" t="s">
        <v>344</v>
      </c>
      <c r="F1" s="2" t="s">
        <v>345</v>
      </c>
      <c r="G1" s="2" t="s">
        <v>346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351</v>
      </c>
      <c r="Q1" s="2" t="s">
        <v>352</v>
      </c>
      <c r="R1" s="2" t="s">
        <v>353</v>
      </c>
      <c r="S1" s="2" t="s">
        <v>354</v>
      </c>
      <c r="T1" s="2" t="s">
        <v>355</v>
      </c>
      <c r="U1" s="2" t="s">
        <v>356</v>
      </c>
      <c r="V1" s="2" t="s">
        <v>357</v>
      </c>
      <c r="W1" s="2" t="s">
        <v>358</v>
      </c>
      <c r="X1" s="2" t="s">
        <v>76</v>
      </c>
      <c r="Y1" s="2" t="s">
        <v>77</v>
      </c>
      <c r="Z1" s="2" t="s">
        <v>78</v>
      </c>
      <c r="AA1" s="2" t="s">
        <v>79</v>
      </c>
      <c r="AB1" s="2" t="s">
        <v>1</v>
      </c>
      <c r="AC1" s="2" t="s">
        <v>2</v>
      </c>
      <c r="AD1" s="2" t="s">
        <v>10</v>
      </c>
      <c r="AE1" s="2" t="s">
        <v>11</v>
      </c>
      <c r="AF1" s="2" t="s">
        <v>80</v>
      </c>
      <c r="AG1" s="2" t="s">
        <v>81</v>
      </c>
      <c r="AH1" s="2" t="s">
        <v>82</v>
      </c>
      <c r="AI1" s="2" t="s">
        <v>83</v>
      </c>
      <c r="AJ1" s="37" t="s">
        <v>15</v>
      </c>
      <c r="AK1" s="37" t="s">
        <v>16</v>
      </c>
      <c r="AL1" s="38" t="s">
        <v>359</v>
      </c>
      <c r="AM1" s="37" t="s">
        <v>3</v>
      </c>
      <c r="AN1" s="37" t="s">
        <v>4</v>
      </c>
    </row>
    <row r="2" spans="1:41" s="15" customFormat="1" ht="30" x14ac:dyDescent="0.25">
      <c r="A2" s="11" t="s">
        <v>6</v>
      </c>
      <c r="B2" s="12" t="s">
        <v>7</v>
      </c>
      <c r="C2" s="13" t="s">
        <v>62</v>
      </c>
      <c r="D2" s="14">
        <f>15269906+213422+5915048+92109+51322+98346</f>
        <v>21640153</v>
      </c>
      <c r="E2" s="14">
        <f>20109509+5075248+96983+225912+186784+84496</f>
        <v>25778932</v>
      </c>
      <c r="F2" s="14">
        <f>20815958+3030+6258367+102737+361344+338241+53236</f>
        <v>27932913</v>
      </c>
      <c r="G2" s="14">
        <f>26586126+13179+9743488+155600+1822775+278296+1115558</f>
        <v>39715022</v>
      </c>
      <c r="H2" s="14">
        <f>177606+119878</f>
        <v>297484</v>
      </c>
      <c r="I2" s="14">
        <f>0+198678</f>
        <v>198678</v>
      </c>
      <c r="J2" s="14">
        <f>332343</f>
        <v>332343</v>
      </c>
      <c r="K2" s="14">
        <f>1158411</f>
        <v>1158411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>
        <v>21491291</v>
      </c>
      <c r="AC2" s="14">
        <v>25495788</v>
      </c>
      <c r="AD2" s="14">
        <v>30649693</v>
      </c>
      <c r="AE2" s="14">
        <v>42920202</v>
      </c>
      <c r="AF2" s="14">
        <f>8756469+472599</f>
        <v>9229068</v>
      </c>
      <c r="AG2" s="14">
        <f>8963867+498145</f>
        <v>9462012</v>
      </c>
      <c r="AH2" s="14">
        <f>8940051+555549</f>
        <v>9495600</v>
      </c>
      <c r="AI2" s="14">
        <f>250000+9767183+748478</f>
        <v>10765661</v>
      </c>
      <c r="AJ2" s="39">
        <v>1959</v>
      </c>
      <c r="AK2" s="39">
        <f>2021-AJ2</f>
        <v>62</v>
      </c>
      <c r="AL2" s="39">
        <v>1</v>
      </c>
      <c r="AM2" s="39">
        <v>1</v>
      </c>
      <c r="AN2" s="39" t="s">
        <v>8</v>
      </c>
    </row>
    <row r="3" spans="1:41" s="15" customFormat="1" ht="60" x14ac:dyDescent="0.25">
      <c r="A3" s="11" t="s">
        <v>14</v>
      </c>
      <c r="B3" s="12" t="s">
        <v>13</v>
      </c>
      <c r="C3" s="16" t="s">
        <v>22</v>
      </c>
      <c r="D3" s="14">
        <f>46042024+107131+476160</f>
        <v>46625315</v>
      </c>
      <c r="E3" s="14">
        <f>43906640+71165+216217</f>
        <v>44194022</v>
      </c>
      <c r="F3" s="14">
        <f>66864317+95318+78623</f>
        <v>67038258</v>
      </c>
      <c r="G3" s="14">
        <f>76886926+110834</f>
        <v>76997760</v>
      </c>
      <c r="H3" s="14">
        <v>104891</v>
      </c>
      <c r="I3" s="14">
        <v>70268</v>
      </c>
      <c r="J3" s="14">
        <v>89473</v>
      </c>
      <c r="K3" s="14">
        <v>0</v>
      </c>
      <c r="L3" s="14">
        <v>7548802</v>
      </c>
      <c r="M3" s="14">
        <v>9207179</v>
      </c>
      <c r="N3" s="14">
        <v>30863197</v>
      </c>
      <c r="O3" s="14">
        <v>16843924</v>
      </c>
      <c r="P3" s="14"/>
      <c r="Q3" s="14"/>
      <c r="R3" s="14"/>
      <c r="S3" s="14"/>
      <c r="T3" s="14"/>
      <c r="U3" s="14"/>
      <c r="V3" s="14"/>
      <c r="W3" s="14"/>
      <c r="X3" s="14">
        <v>3483175</v>
      </c>
      <c r="Y3" s="14">
        <v>3287949</v>
      </c>
      <c r="Z3" s="14">
        <v>3370759</v>
      </c>
      <c r="AA3" s="14">
        <v>5395572</v>
      </c>
      <c r="AB3" s="14"/>
      <c r="AC3" s="14"/>
      <c r="AD3" s="14"/>
      <c r="AE3" s="14"/>
      <c r="AF3" s="14"/>
      <c r="AG3" s="14"/>
      <c r="AH3" s="14"/>
      <c r="AI3" s="14"/>
      <c r="AJ3" s="44">
        <v>1975</v>
      </c>
      <c r="AK3" s="44">
        <f t="shared" ref="AK3:AK49" si="0">2021-AJ3</f>
        <v>46</v>
      </c>
      <c r="AL3" s="44">
        <v>1</v>
      </c>
      <c r="AM3" s="44">
        <v>1</v>
      </c>
      <c r="AN3" s="44" t="s">
        <v>17</v>
      </c>
      <c r="AO3" s="79"/>
    </row>
    <row r="4" spans="1:41" s="15" customFormat="1" ht="75" x14ac:dyDescent="0.25">
      <c r="A4" s="11" t="s">
        <v>25</v>
      </c>
      <c r="B4" s="36" t="s">
        <v>24</v>
      </c>
      <c r="C4" s="16" t="s">
        <v>336</v>
      </c>
      <c r="D4" s="14">
        <f>2598916+154946+89118</f>
        <v>2842980</v>
      </c>
      <c r="E4" s="14">
        <f>2546210+13673+57457</f>
        <v>2617340</v>
      </c>
      <c r="F4" s="14">
        <f>2899072+43946</f>
        <v>2943018</v>
      </c>
      <c r="G4" s="14">
        <f>1581079+14358</f>
        <v>1595437</v>
      </c>
      <c r="H4" s="14">
        <v>0</v>
      </c>
      <c r="I4" s="14">
        <f>57457-37856</f>
        <v>19601</v>
      </c>
      <c r="J4" s="14">
        <f>43946-32470</f>
        <v>11476</v>
      </c>
      <c r="K4" s="14">
        <v>0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>
        <v>1197743</v>
      </c>
      <c r="AC4" s="14">
        <v>1103378</v>
      </c>
      <c r="AD4" s="14">
        <v>1133198</v>
      </c>
      <c r="AE4" s="14">
        <v>1137074</v>
      </c>
      <c r="AF4" s="14">
        <v>10295</v>
      </c>
      <c r="AG4" s="14">
        <v>24445</v>
      </c>
      <c r="AH4" s="14">
        <v>25350</v>
      </c>
      <c r="AI4" s="14">
        <v>18471</v>
      </c>
      <c r="AJ4" s="39">
        <v>2002</v>
      </c>
      <c r="AK4" s="39">
        <f t="shared" si="0"/>
        <v>19</v>
      </c>
      <c r="AL4" s="39">
        <v>3</v>
      </c>
      <c r="AM4" s="39">
        <v>1</v>
      </c>
      <c r="AN4" s="39" t="s">
        <v>5</v>
      </c>
    </row>
    <row r="5" spans="1:41" s="15" customFormat="1" ht="43.15" customHeight="1" x14ac:dyDescent="0.25">
      <c r="A5" s="11" t="s">
        <v>27</v>
      </c>
      <c r="B5" s="12" t="s">
        <v>26</v>
      </c>
      <c r="C5" s="16" t="s">
        <v>320</v>
      </c>
      <c r="D5" s="14">
        <f>13856+8953</f>
        <v>22809</v>
      </c>
      <c r="E5" s="14">
        <f>12750+7969</f>
        <v>20719</v>
      </c>
      <c r="F5" s="14">
        <f>11294+9923</f>
        <v>21217</v>
      </c>
      <c r="G5" s="14">
        <f>13356+5268</f>
        <v>18624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39">
        <v>1986</v>
      </c>
      <c r="AK5" s="39">
        <f t="shared" si="0"/>
        <v>35</v>
      </c>
      <c r="AL5" s="39">
        <v>4</v>
      </c>
      <c r="AM5" s="39">
        <v>2</v>
      </c>
      <c r="AN5" s="39" t="s">
        <v>5</v>
      </c>
    </row>
    <row r="6" spans="1:41" s="15" customFormat="1" ht="45" x14ac:dyDescent="0.25">
      <c r="A6" s="11" t="s">
        <v>29</v>
      </c>
      <c r="B6" s="12" t="s">
        <v>28</v>
      </c>
      <c r="C6" s="16" t="s">
        <v>319</v>
      </c>
      <c r="D6" s="14">
        <f>621054.58+436319.5</f>
        <v>1057374.08</v>
      </c>
      <c r="E6" s="14">
        <v>1617713.15</v>
      </c>
      <c r="F6" s="14">
        <v>2004589.11</v>
      </c>
      <c r="G6" s="14">
        <v>1779549.14</v>
      </c>
      <c r="H6" s="14">
        <v>0</v>
      </c>
      <c r="I6" s="14">
        <f>29315.91-27787.85</f>
        <v>1528.0600000000013</v>
      </c>
      <c r="J6" s="14">
        <f>33994.92-20084.19</f>
        <v>13910.73</v>
      </c>
      <c r="K6" s="14">
        <v>0</v>
      </c>
      <c r="L6" s="14">
        <v>0</v>
      </c>
      <c r="M6" s="14">
        <v>0</v>
      </c>
      <c r="N6" s="14">
        <v>0</v>
      </c>
      <c r="O6" s="14">
        <v>3172.61</v>
      </c>
      <c r="P6" s="14">
        <v>621054.57999999996</v>
      </c>
      <c r="Q6" s="14">
        <v>685706.49</v>
      </c>
      <c r="R6" s="14">
        <v>994030.11</v>
      </c>
      <c r="S6" s="14">
        <v>698220.46</v>
      </c>
      <c r="T6" s="14">
        <v>436319.5</v>
      </c>
      <c r="U6" s="14">
        <v>932006.66</v>
      </c>
      <c r="V6" s="14">
        <v>1010558.92</v>
      </c>
      <c r="W6" s="14">
        <v>1081328.68</v>
      </c>
      <c r="X6" s="14"/>
      <c r="Y6" s="14"/>
      <c r="Z6" s="14"/>
      <c r="AA6" s="14"/>
      <c r="AB6" s="14">
        <v>966009.99</v>
      </c>
      <c r="AC6" s="14">
        <v>1230538.08</v>
      </c>
      <c r="AD6" s="14">
        <v>1833568.08</v>
      </c>
      <c r="AE6" s="14">
        <v>2179503.94</v>
      </c>
      <c r="AF6" s="14">
        <v>425253.64</v>
      </c>
      <c r="AG6" s="14">
        <v>747228.06</v>
      </c>
      <c r="AH6" s="14">
        <v>796839.52</v>
      </c>
      <c r="AI6" s="14">
        <v>767007.3</v>
      </c>
      <c r="AJ6" s="39">
        <v>2005</v>
      </c>
      <c r="AK6" s="39">
        <f t="shared" si="0"/>
        <v>16</v>
      </c>
      <c r="AL6" s="39">
        <v>2</v>
      </c>
      <c r="AM6" s="39">
        <v>1</v>
      </c>
      <c r="AN6" s="39" t="s">
        <v>30</v>
      </c>
    </row>
    <row r="7" spans="1:41" s="15" customFormat="1" ht="57.6" customHeight="1" x14ac:dyDescent="0.25">
      <c r="A7" s="11" t="s">
        <v>32</v>
      </c>
      <c r="B7" s="12" t="s">
        <v>31</v>
      </c>
      <c r="C7" s="16" t="s">
        <v>321</v>
      </c>
      <c r="D7" s="14">
        <f>2205415+78618</f>
        <v>2284033</v>
      </c>
      <c r="E7" s="14">
        <f>3020478+56416+31437</f>
        <v>3108331</v>
      </c>
      <c r="F7" s="14">
        <f>3884059+51621+13781</f>
        <v>3949461</v>
      </c>
      <c r="G7" s="14">
        <v>10243000</v>
      </c>
      <c r="H7" s="14">
        <v>58661</v>
      </c>
      <c r="I7" s="14">
        <v>32835</v>
      </c>
      <c r="J7" s="14">
        <v>34984</v>
      </c>
      <c r="K7" s="14" t="s">
        <v>115</v>
      </c>
      <c r="L7" s="14" t="s">
        <v>115</v>
      </c>
      <c r="M7" s="14">
        <v>22620</v>
      </c>
      <c r="N7" s="14">
        <v>19024</v>
      </c>
      <c r="O7" s="14" t="s">
        <v>115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>
        <v>7058506</v>
      </c>
      <c r="AC7" s="14">
        <v>13790119</v>
      </c>
      <c r="AD7" s="14">
        <v>13361210</v>
      </c>
      <c r="AE7" s="14" t="s">
        <v>115</v>
      </c>
      <c r="AF7" s="14">
        <v>85079</v>
      </c>
      <c r="AG7" s="14">
        <v>74074</v>
      </c>
      <c r="AH7" s="14">
        <v>80142</v>
      </c>
      <c r="AI7" s="14" t="s">
        <v>115</v>
      </c>
      <c r="AJ7" s="44">
        <v>2008</v>
      </c>
      <c r="AK7" s="44">
        <f t="shared" si="0"/>
        <v>13</v>
      </c>
      <c r="AL7" s="44">
        <v>5</v>
      </c>
      <c r="AM7" s="44">
        <v>1</v>
      </c>
      <c r="AN7" s="44" t="s">
        <v>5</v>
      </c>
    </row>
    <row r="8" spans="1:41" s="15" customFormat="1" ht="45" x14ac:dyDescent="0.25">
      <c r="A8" s="11" t="s">
        <v>34</v>
      </c>
      <c r="B8" s="12" t="s">
        <v>33</v>
      </c>
      <c r="C8" s="16" t="s">
        <v>322</v>
      </c>
      <c r="D8" s="14">
        <f>6562000+1814000</f>
        <v>8376000</v>
      </c>
      <c r="E8" s="14">
        <f>5950000+1375000</f>
        <v>7325000</v>
      </c>
      <c r="F8" s="14">
        <f>5601000+2406000</f>
        <v>8007000</v>
      </c>
      <c r="G8" s="14">
        <f>8113000+2683000</f>
        <v>10796000</v>
      </c>
      <c r="H8" s="14">
        <f>1814000-167000</f>
        <v>1647000</v>
      </c>
      <c r="I8" s="14">
        <f>1375000-402000</f>
        <v>973000</v>
      </c>
      <c r="J8" s="14">
        <f>2406000-86000</f>
        <v>2320000</v>
      </c>
      <c r="K8" s="14">
        <f>2683000-1505000</f>
        <v>1178000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21778000</v>
      </c>
      <c r="AC8" s="14">
        <v>21250000</v>
      </c>
      <c r="AD8" s="14">
        <v>22676000</v>
      </c>
      <c r="AE8" s="14">
        <v>25872000</v>
      </c>
      <c r="AF8" s="14">
        <f>12291000</f>
        <v>12291000</v>
      </c>
      <c r="AG8" s="14">
        <v>12039000</v>
      </c>
      <c r="AH8" s="14">
        <f>12208000-199000</f>
        <v>12009000</v>
      </c>
      <c r="AI8" s="14">
        <f>11481000-564000</f>
        <v>10917000</v>
      </c>
      <c r="AJ8" s="39">
        <v>1971</v>
      </c>
      <c r="AK8" s="39">
        <f t="shared" si="0"/>
        <v>50</v>
      </c>
      <c r="AL8" s="39">
        <v>1</v>
      </c>
      <c r="AM8" s="39">
        <v>1</v>
      </c>
      <c r="AN8" s="39" t="s">
        <v>35</v>
      </c>
    </row>
    <row r="9" spans="1:41" s="15" customFormat="1" ht="30" x14ac:dyDescent="0.25">
      <c r="A9" s="11" t="s">
        <v>37</v>
      </c>
      <c r="B9" s="12" t="s">
        <v>36</v>
      </c>
      <c r="C9" s="16" t="s">
        <v>323</v>
      </c>
      <c r="D9" s="14">
        <f>416533333+31383836+3927932</f>
        <v>451845101</v>
      </c>
      <c r="E9" s="14">
        <f>449419873+73731783+5622511</f>
        <v>528774167</v>
      </c>
      <c r="F9" s="14">
        <f>496569266+28703337+6069730</f>
        <v>531342333</v>
      </c>
      <c r="G9" s="14">
        <f>563866182+35805474+6882002</f>
        <v>606553658</v>
      </c>
      <c r="H9" s="14">
        <v>0</v>
      </c>
      <c r="I9" s="14">
        <v>0</v>
      </c>
      <c r="J9" s="14">
        <v>0</v>
      </c>
      <c r="K9" s="14">
        <v>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666343637</v>
      </c>
      <c r="AC9" s="14">
        <v>687017062</v>
      </c>
      <c r="AD9" s="14">
        <v>708541040</v>
      </c>
      <c r="AE9" s="14">
        <v>749681830</v>
      </c>
      <c r="AF9" s="14">
        <v>525371704</v>
      </c>
      <c r="AG9" s="14">
        <v>533776124</v>
      </c>
      <c r="AH9" s="14">
        <v>548877027</v>
      </c>
      <c r="AI9" s="14">
        <v>556562648</v>
      </c>
      <c r="AJ9" s="39">
        <v>1899</v>
      </c>
      <c r="AK9" s="39">
        <f t="shared" si="0"/>
        <v>122</v>
      </c>
      <c r="AL9" s="39">
        <v>3</v>
      </c>
      <c r="AM9" s="39">
        <v>1</v>
      </c>
      <c r="AN9" s="39" t="s">
        <v>17</v>
      </c>
    </row>
    <row r="10" spans="1:41" s="15" customFormat="1" ht="60" x14ac:dyDescent="0.25">
      <c r="A10" s="11" t="s">
        <v>41</v>
      </c>
      <c r="B10" s="12" t="s">
        <v>40</v>
      </c>
      <c r="C10" s="16" t="s">
        <v>324</v>
      </c>
      <c r="D10" s="14">
        <v>1094376.68</v>
      </c>
      <c r="E10" s="14">
        <f>674635.04+107168.51+105192.17</f>
        <v>886995.72000000009</v>
      </c>
      <c r="F10" s="14">
        <v>1145744.24</v>
      </c>
      <c r="G10" s="14">
        <v>1123478.67</v>
      </c>
      <c r="H10" s="14">
        <f>18112.46-10129.46</f>
        <v>7983</v>
      </c>
      <c r="I10" s="14">
        <f>6997.05-6318.9</f>
        <v>678.15000000000055</v>
      </c>
      <c r="J10" s="14">
        <f>14863.68-6085.02</f>
        <v>8778.66</v>
      </c>
      <c r="K10" s="14">
        <f>8123.55-4602.38</f>
        <v>3521.17</v>
      </c>
      <c r="L10" s="14">
        <v>12742.71</v>
      </c>
      <c r="M10" s="14">
        <v>20505</v>
      </c>
      <c r="N10" s="14">
        <v>11973.21</v>
      </c>
      <c r="O10" s="14">
        <v>13990.69</v>
      </c>
      <c r="P10" s="14">
        <v>179103.7</v>
      </c>
      <c r="Q10" s="14">
        <v>105192.17</v>
      </c>
      <c r="R10" s="14">
        <v>136624.01999999999</v>
      </c>
      <c r="S10" s="14">
        <v>142047.41</v>
      </c>
      <c r="T10" s="14">
        <f>D10-P10</f>
        <v>915272.98</v>
      </c>
      <c r="U10" s="14">
        <f>E10-Q10</f>
        <v>781803.55</v>
      </c>
      <c r="V10" s="14">
        <f>F10-R10</f>
        <v>1009120.22</v>
      </c>
      <c r="W10" s="14">
        <f>G10-S10</f>
        <v>981431.25999999989</v>
      </c>
      <c r="X10" s="14"/>
      <c r="Y10" s="14"/>
      <c r="Z10" s="14"/>
      <c r="AA10" s="14"/>
      <c r="AB10" s="14">
        <v>990902.94</v>
      </c>
      <c r="AC10" s="14">
        <v>972577.91</v>
      </c>
      <c r="AD10" s="14">
        <v>1127449.3</v>
      </c>
      <c r="AE10" s="14">
        <v>1241601.77</v>
      </c>
      <c r="AF10" s="14">
        <v>518711.84</v>
      </c>
      <c r="AG10" s="14">
        <f>798217.05-266665.3</f>
        <v>531551.75</v>
      </c>
      <c r="AH10" s="14">
        <v>496531.27</v>
      </c>
      <c r="AI10" s="14">
        <v>459938.38</v>
      </c>
      <c r="AJ10" s="39">
        <v>1999</v>
      </c>
      <c r="AK10" s="39">
        <f t="shared" si="0"/>
        <v>22</v>
      </c>
      <c r="AL10" s="39">
        <v>3</v>
      </c>
      <c r="AM10" s="39">
        <v>1</v>
      </c>
      <c r="AN10" s="39" t="s">
        <v>42</v>
      </c>
    </row>
    <row r="11" spans="1:41" s="15" customFormat="1" ht="45" x14ac:dyDescent="0.25">
      <c r="A11" s="11" t="s">
        <v>44</v>
      </c>
      <c r="B11" s="12" t="s">
        <v>43</v>
      </c>
      <c r="C11" s="16" t="s">
        <v>45</v>
      </c>
      <c r="D11" s="14">
        <f>33484805+1961551</f>
        <v>35446356</v>
      </c>
      <c r="E11" s="14">
        <f>35598840+1223638</f>
        <v>36822478</v>
      </c>
      <c r="F11" s="14">
        <v>40897745.600000001</v>
      </c>
      <c r="G11" s="14">
        <v>34555422.799999997</v>
      </c>
      <c r="H11" s="14">
        <f>1961551-151975</f>
        <v>1809576</v>
      </c>
      <c r="I11" s="14">
        <f>1223638-115689</f>
        <v>1107949</v>
      </c>
      <c r="J11" s="14">
        <f>1151418.75-286358.66-32476.97</f>
        <v>832583.12000000011</v>
      </c>
      <c r="K11" s="14">
        <f>628062.65-59450.59-135265.83</f>
        <v>433346.2300000001</v>
      </c>
      <c r="L11" s="14">
        <v>0</v>
      </c>
      <c r="M11" s="14">
        <v>0</v>
      </c>
      <c r="N11" s="14">
        <v>56000</v>
      </c>
      <c r="O11" s="14"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>
        <v>25742478</v>
      </c>
      <c r="AC11" s="14">
        <v>24861895</v>
      </c>
      <c r="AD11" s="14">
        <v>26319288.920000002</v>
      </c>
      <c r="AE11" s="14">
        <v>28487910.510000002</v>
      </c>
      <c r="AF11" s="14">
        <v>1319622</v>
      </c>
      <c r="AG11" s="14">
        <v>1686515</v>
      </c>
      <c r="AH11" s="14">
        <v>2101366.13</v>
      </c>
      <c r="AI11" s="14">
        <v>2481878.4</v>
      </c>
      <c r="AJ11" s="39">
        <v>2002</v>
      </c>
      <c r="AK11" s="39">
        <f t="shared" si="0"/>
        <v>19</v>
      </c>
      <c r="AL11" s="39">
        <v>1</v>
      </c>
      <c r="AM11" s="39">
        <v>1</v>
      </c>
      <c r="AN11" s="39" t="s">
        <v>17</v>
      </c>
    </row>
    <row r="12" spans="1:41" s="15" customFormat="1" ht="30" x14ac:dyDescent="0.25">
      <c r="A12" s="11" t="s">
        <v>47</v>
      </c>
      <c r="B12" s="12" t="s">
        <v>46</v>
      </c>
      <c r="C12" s="16" t="s">
        <v>329</v>
      </c>
      <c r="D12" s="14">
        <f>24424949+40906</f>
        <v>24465855</v>
      </c>
      <c r="E12" s="14">
        <f>22349358+63836</f>
        <v>22413194</v>
      </c>
      <c r="F12" s="14">
        <f>18530613+72329</f>
        <v>18602942</v>
      </c>
      <c r="G12" s="14">
        <f>15752317+1645453+1586778+936048+1050409+343529+9904+21744</f>
        <v>21346182</v>
      </c>
      <c r="H12" s="14">
        <v>0</v>
      </c>
      <c r="I12" s="14">
        <v>55117</v>
      </c>
      <c r="J12" s="14">
        <v>27651</v>
      </c>
      <c r="K12" s="14">
        <v>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>
        <v>3468102</v>
      </c>
      <c r="AC12" s="14">
        <v>5114798</v>
      </c>
      <c r="AD12" s="14">
        <v>4357331</v>
      </c>
      <c r="AE12" s="14">
        <v>6628509</v>
      </c>
      <c r="AF12" s="14">
        <v>794691</v>
      </c>
      <c r="AG12" s="14">
        <f>549640+17896</f>
        <v>567536</v>
      </c>
      <c r="AH12" s="14">
        <f>440230+65364</f>
        <v>505594</v>
      </c>
      <c r="AI12" s="14">
        <f>324318+63000</f>
        <v>387318</v>
      </c>
      <c r="AJ12" s="39">
        <v>1997</v>
      </c>
      <c r="AK12" s="39">
        <f t="shared" si="0"/>
        <v>24</v>
      </c>
      <c r="AL12" s="39">
        <v>5</v>
      </c>
      <c r="AM12" s="39">
        <v>1</v>
      </c>
      <c r="AN12" s="39" t="s">
        <v>48</v>
      </c>
    </row>
    <row r="13" spans="1:41" s="15" customFormat="1" ht="45" x14ac:dyDescent="0.25">
      <c r="A13" s="11" t="s">
        <v>49</v>
      </c>
      <c r="B13" s="12" t="s">
        <v>50</v>
      </c>
      <c r="C13" s="16" t="s">
        <v>330</v>
      </c>
      <c r="D13" s="14">
        <f>21675858+1233151+163120</f>
        <v>23072129</v>
      </c>
      <c r="E13" s="14">
        <f>20695204+695669+7500+44347+58717107801</f>
        <v>58738550521</v>
      </c>
      <c r="F13" s="14">
        <f>23694752+556606+35114+130372+49554</f>
        <v>24466398</v>
      </c>
      <c r="G13" s="14">
        <f>220695+683+94799+29893789</f>
        <v>30209966</v>
      </c>
      <c r="H13" s="14">
        <f>1207477</f>
        <v>1207477</v>
      </c>
      <c r="I13" s="14">
        <f>663631+41936+58388</f>
        <v>763955</v>
      </c>
      <c r="J13" s="14">
        <f>556606+35114</f>
        <v>591720</v>
      </c>
      <c r="K13" s="14">
        <f>220695+683</f>
        <v>221378</v>
      </c>
      <c r="L13" s="14"/>
      <c r="M13" s="14"/>
      <c r="N13" s="14"/>
      <c r="O13" s="14"/>
      <c r="P13" s="14">
        <f>10342670</f>
        <v>10342670</v>
      </c>
      <c r="Q13" s="14">
        <v>8216662</v>
      </c>
      <c r="R13" s="14">
        <f>9390574</f>
        <v>9390574</v>
      </c>
      <c r="S13" s="14">
        <v>16355899</v>
      </c>
      <c r="T13" s="14">
        <f>11333187+163120</f>
        <v>11496307</v>
      </c>
      <c r="U13" s="14">
        <f>107801+12478541</f>
        <v>12586342</v>
      </c>
      <c r="V13" s="14">
        <f>14304178+130372+49554</f>
        <v>14484104</v>
      </c>
      <c r="W13" s="14">
        <f>94799+13537890</f>
        <v>13632689</v>
      </c>
      <c r="X13" s="14"/>
      <c r="Y13" s="14"/>
      <c r="Z13" s="14"/>
      <c r="AA13" s="14"/>
      <c r="AB13" s="14">
        <v>26368047</v>
      </c>
      <c r="AC13" s="14">
        <v>26786369</v>
      </c>
      <c r="AD13" s="14">
        <v>31685784</v>
      </c>
      <c r="AE13" s="14">
        <v>31675933</v>
      </c>
      <c r="AF13" s="14">
        <v>7070366</v>
      </c>
      <c r="AG13" s="14">
        <v>8489516</v>
      </c>
      <c r="AH13" s="14">
        <f>9243144+52380</f>
        <v>9295524</v>
      </c>
      <c r="AI13" s="14">
        <f>44903+10796737</f>
        <v>10841640</v>
      </c>
      <c r="AJ13" s="39">
        <v>1965</v>
      </c>
      <c r="AK13" s="39">
        <f t="shared" si="0"/>
        <v>56</v>
      </c>
      <c r="AL13" s="39">
        <v>1</v>
      </c>
      <c r="AM13" s="39">
        <v>1</v>
      </c>
      <c r="AN13" s="39" t="s">
        <v>51</v>
      </c>
    </row>
    <row r="14" spans="1:41" s="15" customFormat="1" ht="45" x14ac:dyDescent="0.25">
      <c r="A14" s="11" t="s">
        <v>55</v>
      </c>
      <c r="B14" s="12" t="s">
        <v>54</v>
      </c>
      <c r="C14" s="16" t="s">
        <v>56</v>
      </c>
      <c r="D14" s="14">
        <f>2482666</f>
        <v>2482666</v>
      </c>
      <c r="E14" s="14">
        <v>3428377</v>
      </c>
      <c r="F14" s="14">
        <f>3284348+13617</f>
        <v>3297965</v>
      </c>
      <c r="G14" s="14">
        <v>2210088</v>
      </c>
      <c r="H14" s="14">
        <v>0</v>
      </c>
      <c r="I14" s="14">
        <v>0</v>
      </c>
      <c r="J14" s="14">
        <v>13617</v>
      </c>
      <c r="K14" s="14">
        <v>0</v>
      </c>
      <c r="L14" s="14">
        <v>251688</v>
      </c>
      <c r="M14" s="14">
        <v>425674</v>
      </c>
      <c r="N14" s="14">
        <v>310782</v>
      </c>
      <c r="O14" s="14">
        <v>121827</v>
      </c>
      <c r="P14" s="14">
        <v>251688</v>
      </c>
      <c r="Q14" s="14">
        <v>425674</v>
      </c>
      <c r="R14" s="14">
        <v>310782</v>
      </c>
      <c r="S14" s="14">
        <v>121827</v>
      </c>
      <c r="T14" s="14">
        <v>2482666</v>
      </c>
      <c r="U14" s="14">
        <v>3002703</v>
      </c>
      <c r="V14" s="14">
        <v>2973566</v>
      </c>
      <c r="W14" s="14">
        <v>2088261</v>
      </c>
      <c r="X14" s="14"/>
      <c r="Y14" s="14"/>
      <c r="Z14" s="14"/>
      <c r="AA14" s="14"/>
      <c r="AB14" s="14">
        <v>1084387</v>
      </c>
      <c r="AC14" s="14">
        <v>1126759</v>
      </c>
      <c r="AD14" s="14">
        <v>1475355</v>
      </c>
      <c r="AE14" s="14">
        <v>1531605</v>
      </c>
      <c r="AF14" s="14">
        <v>180174</v>
      </c>
      <c r="AG14" s="14">
        <v>153003</v>
      </c>
      <c r="AH14" s="14">
        <v>170506</v>
      </c>
      <c r="AI14" s="14">
        <v>257854</v>
      </c>
      <c r="AJ14" s="39">
        <v>2006</v>
      </c>
      <c r="AK14" s="39">
        <f t="shared" si="0"/>
        <v>15</v>
      </c>
      <c r="AL14" s="39">
        <v>3</v>
      </c>
      <c r="AM14" s="39">
        <v>1</v>
      </c>
      <c r="AN14" s="39" t="s">
        <v>5</v>
      </c>
    </row>
    <row r="15" spans="1:41" s="15" customFormat="1" ht="30" x14ac:dyDescent="0.25">
      <c r="A15" s="11" t="s">
        <v>58</v>
      </c>
      <c r="B15" s="12" t="s">
        <v>57</v>
      </c>
      <c r="C15" s="16" t="s">
        <v>332</v>
      </c>
      <c r="D15" s="14">
        <f>2630977+386966+217603</f>
        <v>3235546</v>
      </c>
      <c r="E15" s="14">
        <f>2765477+251158</f>
        <v>3016635</v>
      </c>
      <c r="F15" s="14">
        <f>3726950+189617</f>
        <v>3916567</v>
      </c>
      <c r="G15" s="14">
        <f>2782826+191686</f>
        <v>2974512</v>
      </c>
      <c r="H15" s="14">
        <v>386966</v>
      </c>
      <c r="I15" s="14">
        <v>251158</v>
      </c>
      <c r="J15" s="14">
        <v>189617</v>
      </c>
      <c r="K15" s="14">
        <v>191686</v>
      </c>
      <c r="L15" s="14">
        <v>741711</v>
      </c>
      <c r="M15" s="14">
        <v>605611</v>
      </c>
      <c r="N15" s="14">
        <v>734461</v>
      </c>
      <c r="O15" s="14">
        <v>636054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>
        <v>4332199</v>
      </c>
      <c r="AC15" s="14">
        <v>5051142</v>
      </c>
      <c r="AD15" s="14">
        <v>4932697</v>
      </c>
      <c r="AE15" s="14">
        <v>5755113</v>
      </c>
      <c r="AF15" s="14">
        <f>46964+21361+3108723</f>
        <v>3177048</v>
      </c>
      <c r="AG15" s="14">
        <f>183606+17062+3305006</f>
        <v>3505674</v>
      </c>
      <c r="AH15" s="14">
        <v>3664712</v>
      </c>
      <c r="AI15" s="14">
        <v>3828175</v>
      </c>
      <c r="AJ15" s="39">
        <v>1997</v>
      </c>
      <c r="AK15" s="39">
        <f t="shared" si="0"/>
        <v>24</v>
      </c>
      <c r="AL15" s="39">
        <v>1</v>
      </c>
      <c r="AM15" s="39">
        <v>1</v>
      </c>
      <c r="AN15" s="39" t="s">
        <v>30</v>
      </c>
    </row>
    <row r="16" spans="1:41" s="15" customFormat="1" ht="75" x14ac:dyDescent="0.25">
      <c r="A16" s="11" t="s">
        <v>64</v>
      </c>
      <c r="B16" s="12" t="s">
        <v>63</v>
      </c>
      <c r="C16" s="16" t="s">
        <v>65</v>
      </c>
      <c r="D16" s="14">
        <f>4051081.48+4129841.43</f>
        <v>8180922.9100000001</v>
      </c>
      <c r="E16" s="14">
        <f>3187272.36+4717783.8</f>
        <v>7905056.1600000001</v>
      </c>
      <c r="F16" s="14">
        <v>9265069.7699999996</v>
      </c>
      <c r="G16" s="14">
        <v>8623485.0299999993</v>
      </c>
      <c r="H16" s="14">
        <f>265845.71-4891.03</f>
        <v>260954.68000000002</v>
      </c>
      <c r="I16" s="14">
        <f>142850.86-0</f>
        <v>142850.85999999999</v>
      </c>
      <c r="J16" s="14">
        <f>103717.95-4309.63</f>
        <v>99408.319999999992</v>
      </c>
      <c r="K16" s="14">
        <v>40209.660000000003</v>
      </c>
      <c r="L16" s="14">
        <f>807115.5+19932.82</f>
        <v>827048.32</v>
      </c>
      <c r="M16" s="14">
        <f>476625+476625</f>
        <v>953250</v>
      </c>
      <c r="N16" s="14">
        <f>457787.5+457787.5</f>
        <v>915575</v>
      </c>
      <c r="O16" s="14">
        <f>177663.75+177663.75</f>
        <v>355327.5</v>
      </c>
      <c r="P16" s="14">
        <v>4051081.48</v>
      </c>
      <c r="Q16" s="14">
        <v>3187272.36</v>
      </c>
      <c r="R16" s="14">
        <v>4949750.96</v>
      </c>
      <c r="S16" s="14">
        <v>3774057.79</v>
      </c>
      <c r="T16" s="14">
        <f>4129841.43-265845.71</f>
        <v>3863995.72</v>
      </c>
      <c r="U16" s="14">
        <f>4717783.8-142850.86</f>
        <v>4574932.9399999995</v>
      </c>
      <c r="V16" s="14">
        <f>4315318.81-103717.95</f>
        <v>4211600.8599999994</v>
      </c>
      <c r="W16" s="14">
        <f>4849427.24-40209.66</f>
        <v>4809217.58</v>
      </c>
      <c r="X16" s="14"/>
      <c r="Y16" s="14"/>
      <c r="Z16" s="14"/>
      <c r="AA16" s="14"/>
      <c r="AB16" s="14">
        <v>28933671.170000002</v>
      </c>
      <c r="AC16" s="14">
        <v>94437931.5</v>
      </c>
      <c r="AD16" s="14">
        <v>90723120.760000005</v>
      </c>
      <c r="AE16" s="14">
        <v>83114416.650000006</v>
      </c>
      <c r="AF16" s="14">
        <v>6073380.54</v>
      </c>
      <c r="AG16" s="14">
        <v>90761915.109999999</v>
      </c>
      <c r="AH16" s="14">
        <v>87894270.909999996</v>
      </c>
      <c r="AI16" s="14">
        <v>79687267.290000007</v>
      </c>
      <c r="AJ16" s="39">
        <v>1773</v>
      </c>
      <c r="AK16" s="39">
        <f t="shared" si="0"/>
        <v>248</v>
      </c>
      <c r="AL16" s="39">
        <v>1</v>
      </c>
      <c r="AM16" s="39">
        <v>1</v>
      </c>
      <c r="AN16" s="39" t="s">
        <v>66</v>
      </c>
    </row>
    <row r="17" spans="1:40" s="15" customFormat="1" ht="45" x14ac:dyDescent="0.25">
      <c r="A17" s="11" t="s">
        <v>70</v>
      </c>
      <c r="B17" s="12" t="s">
        <v>69</v>
      </c>
      <c r="C17" s="16" t="s">
        <v>71</v>
      </c>
      <c r="D17" s="14">
        <f>35595107</f>
        <v>35595107</v>
      </c>
      <c r="E17" s="14">
        <v>38705305</v>
      </c>
      <c r="F17" s="14">
        <v>44285527</v>
      </c>
      <c r="G17" s="14">
        <v>50630421</v>
      </c>
      <c r="H17" s="14">
        <v>1551275</v>
      </c>
      <c r="I17" s="14">
        <v>880488</v>
      </c>
      <c r="J17" s="14">
        <v>1008666</v>
      </c>
      <c r="K17" s="14">
        <v>1054780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v>74988243</v>
      </c>
      <c r="AC17" s="14">
        <v>64992589</v>
      </c>
      <c r="AD17" s="14">
        <v>72271238</v>
      </c>
      <c r="AE17" s="14">
        <v>98137449</v>
      </c>
      <c r="AF17" s="14">
        <v>3029675</v>
      </c>
      <c r="AG17" s="14">
        <v>3862374</v>
      </c>
      <c r="AH17" s="14">
        <v>4202411</v>
      </c>
      <c r="AI17" s="14">
        <v>4709731</v>
      </c>
      <c r="AJ17" s="39">
        <v>1994</v>
      </c>
      <c r="AK17" s="39">
        <f t="shared" si="0"/>
        <v>27</v>
      </c>
      <c r="AL17" s="39">
        <v>4</v>
      </c>
      <c r="AM17" s="39">
        <v>1</v>
      </c>
      <c r="AN17" s="39" t="s">
        <v>5</v>
      </c>
    </row>
    <row r="18" spans="1:40" ht="30" x14ac:dyDescent="0.25">
      <c r="A18" s="4" t="s">
        <v>87</v>
      </c>
      <c r="B18" s="17" t="s">
        <v>84</v>
      </c>
      <c r="C18" s="8" t="s">
        <v>85</v>
      </c>
      <c r="D18" s="5">
        <v>13841000</v>
      </c>
      <c r="E18" s="5">
        <v>11888000</v>
      </c>
      <c r="F18" s="5">
        <v>10298000</v>
      </c>
      <c r="G18" s="5">
        <v>6578000</v>
      </c>
      <c r="H18" s="5">
        <v>1094000</v>
      </c>
      <c r="I18" s="5">
        <v>607000</v>
      </c>
      <c r="J18" s="5">
        <v>509000</v>
      </c>
      <c r="K18" s="5">
        <v>199000</v>
      </c>
      <c r="L18" s="5">
        <v>23000</v>
      </c>
      <c r="M18" s="5">
        <v>23000</v>
      </c>
      <c r="N18" s="5">
        <v>28000</v>
      </c>
      <c r="O18" s="5">
        <v>28000</v>
      </c>
      <c r="P18" s="5"/>
      <c r="Q18" s="5"/>
      <c r="R18" s="5"/>
      <c r="S18" s="5"/>
      <c r="T18" s="5"/>
      <c r="U18" s="5"/>
      <c r="V18" s="5"/>
      <c r="W18" s="5"/>
      <c r="X18" s="5">
        <f>1500000+570000</f>
        <v>2070000</v>
      </c>
      <c r="Y18" s="5">
        <f>1530000+610000</f>
        <v>2140000</v>
      </c>
      <c r="Z18" s="5">
        <f>870000+505000</f>
        <v>1375000</v>
      </c>
      <c r="AA18" s="5">
        <f>509000+132000</f>
        <v>641000</v>
      </c>
      <c r="AB18" s="5">
        <v>16397000</v>
      </c>
      <c r="AC18" s="5">
        <v>14728000</v>
      </c>
      <c r="AD18" s="5">
        <v>13406000</v>
      </c>
      <c r="AE18" s="5">
        <v>11611000</v>
      </c>
      <c r="AF18" s="5">
        <f>713000+612000</f>
        <v>1325000</v>
      </c>
      <c r="AG18" s="5">
        <f>652000-612000</f>
        <v>40000</v>
      </c>
      <c r="AH18" s="5">
        <f>658000-629000</f>
        <v>29000</v>
      </c>
      <c r="AI18" s="5">
        <f>676000-638000</f>
        <v>38000</v>
      </c>
      <c r="AJ18" s="39">
        <v>1994</v>
      </c>
      <c r="AK18" s="39">
        <f t="shared" si="0"/>
        <v>27</v>
      </c>
      <c r="AL18" s="39">
        <v>1</v>
      </c>
      <c r="AM18" s="39">
        <v>1</v>
      </c>
      <c r="AN18" s="39" t="s">
        <v>35</v>
      </c>
    </row>
    <row r="19" spans="1:40" ht="45" x14ac:dyDescent="0.25">
      <c r="A19" s="4" t="s">
        <v>88</v>
      </c>
      <c r="B19" s="17" t="s">
        <v>86</v>
      </c>
      <c r="C19" s="8" t="s">
        <v>89</v>
      </c>
      <c r="D19" s="5">
        <f>1390299</f>
        <v>1390299</v>
      </c>
      <c r="E19" s="5">
        <v>2612363</v>
      </c>
      <c r="F19" s="5">
        <v>3392407</v>
      </c>
      <c r="G19" s="5">
        <v>3873235</v>
      </c>
      <c r="H19" s="5">
        <f>690742-7130</f>
        <v>683612</v>
      </c>
      <c r="I19" s="5">
        <f>642620-15283</f>
        <v>627337</v>
      </c>
      <c r="J19" s="5">
        <f>533157-8002</f>
        <v>525155</v>
      </c>
      <c r="K19" s="5">
        <f>429082-8747</f>
        <v>420335</v>
      </c>
      <c r="L19" s="5">
        <v>56963</v>
      </c>
      <c r="M19" s="5">
        <v>75978</v>
      </c>
      <c r="N19" s="5">
        <v>239554</v>
      </c>
      <c r="O19" s="5">
        <v>69610</v>
      </c>
      <c r="P19" s="5">
        <v>62650</v>
      </c>
      <c r="Q19" s="5">
        <v>590860</v>
      </c>
      <c r="R19" s="5">
        <v>1619734</v>
      </c>
      <c r="S19" s="5">
        <v>1254068</v>
      </c>
      <c r="T19" s="5">
        <f>1390299-62650</f>
        <v>1327649</v>
      </c>
      <c r="U19" s="5">
        <f>2612363-590860</f>
        <v>2021503</v>
      </c>
      <c r="V19" s="5">
        <f>3392407-1619734</f>
        <v>1772673</v>
      </c>
      <c r="W19" s="5">
        <f>3873235-1254068</f>
        <v>2619167</v>
      </c>
      <c r="X19" s="5"/>
      <c r="Y19" s="5"/>
      <c r="Z19" s="5"/>
      <c r="AA19" s="5"/>
      <c r="AB19" s="5">
        <v>8514279</v>
      </c>
      <c r="AC19" s="5">
        <v>9738896</v>
      </c>
      <c r="AD19" s="5">
        <v>9445471</v>
      </c>
      <c r="AE19" s="5">
        <v>8677433</v>
      </c>
      <c r="AF19" s="5">
        <v>1485662</v>
      </c>
      <c r="AG19" s="5">
        <v>1489628</v>
      </c>
      <c r="AH19" s="5">
        <v>1442031</v>
      </c>
      <c r="AI19" s="5">
        <v>1287638</v>
      </c>
      <c r="AJ19" s="39">
        <v>1995</v>
      </c>
      <c r="AK19" s="39">
        <f t="shared" si="0"/>
        <v>26</v>
      </c>
      <c r="AL19" s="39">
        <v>1</v>
      </c>
      <c r="AM19" s="39">
        <v>1</v>
      </c>
      <c r="AN19" s="39" t="s">
        <v>5</v>
      </c>
    </row>
    <row r="20" spans="1:40" s="15" customFormat="1" ht="30" x14ac:dyDescent="0.25">
      <c r="A20" s="11" t="s">
        <v>91</v>
      </c>
      <c r="B20" s="12" t="s">
        <v>90</v>
      </c>
      <c r="C20" s="16" t="s">
        <v>333</v>
      </c>
      <c r="D20" s="14">
        <f>5278425.3+154494.77</f>
        <v>5432920.0699999994</v>
      </c>
      <c r="E20" s="14">
        <f>5439342.44+126908.84</f>
        <v>5566251.2800000003</v>
      </c>
      <c r="F20" s="14">
        <f>6179354.26+136627.73</f>
        <v>6315981.9900000002</v>
      </c>
      <c r="G20" s="14">
        <f>6180646.54+50835.82</f>
        <v>6231482.3600000003</v>
      </c>
      <c r="H20" s="14">
        <v>144720.54999999999</v>
      </c>
      <c r="I20" s="14">
        <v>119764.55</v>
      </c>
      <c r="J20" s="14">
        <v>127961.1</v>
      </c>
      <c r="K20" s="14">
        <v>41712.400000000001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>
        <v>13951884.960000001</v>
      </c>
      <c r="AC20" s="14">
        <v>16738176.33</v>
      </c>
      <c r="AD20" s="14">
        <v>19517629.050000001</v>
      </c>
      <c r="AE20" s="14">
        <v>23168943.52</v>
      </c>
      <c r="AF20" s="14">
        <v>184177.23</v>
      </c>
      <c r="AG20" s="14">
        <v>298860.73</v>
      </c>
      <c r="AH20" s="14">
        <v>660939.56999999995</v>
      </c>
      <c r="AI20" s="14">
        <v>739338.2</v>
      </c>
      <c r="AJ20" s="39">
        <v>2003</v>
      </c>
      <c r="AK20" s="39">
        <f t="shared" si="0"/>
        <v>18</v>
      </c>
      <c r="AL20" s="39">
        <v>2</v>
      </c>
      <c r="AM20" s="39">
        <v>1</v>
      </c>
      <c r="AN20" s="39" t="s">
        <v>35</v>
      </c>
    </row>
    <row r="21" spans="1:40" ht="45" x14ac:dyDescent="0.25">
      <c r="A21" s="4" t="s">
        <v>97</v>
      </c>
      <c r="B21" s="17" t="s">
        <v>96</v>
      </c>
      <c r="C21" s="8" t="s">
        <v>98</v>
      </c>
      <c r="D21" s="5">
        <f>1550977.24+76666.5</f>
        <v>1627643.74</v>
      </c>
      <c r="E21" s="5">
        <f>1341289.13+53868.51+22646.42</f>
        <v>1417804.0599999998</v>
      </c>
      <c r="F21" s="5">
        <f>1609609.92+628.75+17051.3</f>
        <v>1627289.97</v>
      </c>
      <c r="G21" s="5">
        <f>2412160.69+54822.77</f>
        <v>2466983.46</v>
      </c>
      <c r="H21" s="5">
        <v>76666.5</v>
      </c>
      <c r="I21" s="5">
        <v>53868.51</v>
      </c>
      <c r="J21" s="5">
        <v>17051.3</v>
      </c>
      <c r="K21" s="5">
        <v>0</v>
      </c>
      <c r="L21" s="5">
        <v>0</v>
      </c>
      <c r="M21" s="5">
        <v>91100</v>
      </c>
      <c r="N21" s="5">
        <v>27300</v>
      </c>
      <c r="O21" s="5">
        <v>107220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41" t="s">
        <v>115</v>
      </c>
      <c r="AC21" s="5">
        <v>3491741.35</v>
      </c>
      <c r="AD21" s="5">
        <v>4164387.23</v>
      </c>
      <c r="AE21" s="5">
        <v>3940163.2</v>
      </c>
      <c r="AF21" s="41" t="s">
        <v>115</v>
      </c>
      <c r="AG21" s="5">
        <v>59946.42</v>
      </c>
      <c r="AH21" s="5">
        <v>23824.13</v>
      </c>
      <c r="AI21" s="5">
        <v>15967.97</v>
      </c>
      <c r="AJ21" s="39">
        <v>2014</v>
      </c>
      <c r="AK21" s="39">
        <f t="shared" si="0"/>
        <v>7</v>
      </c>
      <c r="AL21" s="39">
        <v>7</v>
      </c>
      <c r="AM21" s="39">
        <v>1</v>
      </c>
      <c r="AN21" s="39" t="s">
        <v>5</v>
      </c>
    </row>
    <row r="22" spans="1:40" ht="45" x14ac:dyDescent="0.25">
      <c r="A22" s="4" t="s">
        <v>100</v>
      </c>
      <c r="B22" s="17" t="s">
        <v>99</v>
      </c>
      <c r="C22" s="8" t="s">
        <v>101</v>
      </c>
      <c r="D22" s="5">
        <f>3624644+166956</f>
        <v>3791600</v>
      </c>
      <c r="E22" s="5">
        <f>3424434+159390</f>
        <v>3583824</v>
      </c>
      <c r="F22" s="5">
        <f>3640553+196048</f>
        <v>3836601</v>
      </c>
      <c r="G22" s="5">
        <f>4341115+89299</f>
        <v>4430414</v>
      </c>
      <c r="H22" s="5">
        <v>166956</v>
      </c>
      <c r="I22" s="5">
        <v>159390</v>
      </c>
      <c r="J22" s="5">
        <v>196048</v>
      </c>
      <c r="K22" s="5">
        <v>89299</v>
      </c>
      <c r="L22" s="5">
        <v>64000</v>
      </c>
      <c r="M22" s="5">
        <v>79500</v>
      </c>
      <c r="N22" s="5">
        <v>50615</v>
      </c>
      <c r="O22" s="5">
        <v>61445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>
        <f>2281180</f>
        <v>2281180</v>
      </c>
      <c r="AC22" s="5">
        <v>3101471</v>
      </c>
      <c r="AD22" s="5">
        <v>3860813</v>
      </c>
      <c r="AE22" s="5">
        <v>5428807</v>
      </c>
      <c r="AF22" s="5">
        <v>13409</v>
      </c>
      <c r="AG22" s="5">
        <v>27583</v>
      </c>
      <c r="AH22" s="5">
        <v>43858</v>
      </c>
      <c r="AI22" s="5">
        <v>135255</v>
      </c>
      <c r="AJ22" s="39">
        <v>1999</v>
      </c>
      <c r="AK22" s="39">
        <f t="shared" si="0"/>
        <v>22</v>
      </c>
      <c r="AL22" s="39">
        <v>7</v>
      </c>
      <c r="AM22" s="39">
        <v>1</v>
      </c>
      <c r="AN22" s="39" t="s">
        <v>5</v>
      </c>
    </row>
    <row r="23" spans="1:40" s="15" customFormat="1" ht="60" x14ac:dyDescent="0.25">
      <c r="A23" s="11" t="s">
        <v>103</v>
      </c>
      <c r="B23" s="12" t="s">
        <v>102</v>
      </c>
      <c r="C23" s="16" t="s">
        <v>338</v>
      </c>
      <c r="D23" s="14">
        <f>1118979.92+745482.08+16112.85+86888.14+176160+250591.07+2297.8+153871.46</f>
        <v>2550383.3199999998</v>
      </c>
      <c r="E23" s="14">
        <f>1290285.12+111422.88</f>
        <v>1401708</v>
      </c>
      <c r="F23" s="14">
        <f>1308553.7+97985.84</f>
        <v>1406539.54</v>
      </c>
      <c r="G23" s="14">
        <f>2768053.92</f>
        <v>2768053.92</v>
      </c>
      <c r="H23" s="14">
        <f>153871.46-2407.86</f>
        <v>151463.6</v>
      </c>
      <c r="I23" s="14">
        <f>111422.88-2111.16</f>
        <v>109311.72</v>
      </c>
      <c r="J23" s="14">
        <f>97985.84-2318.25</f>
        <v>95667.59</v>
      </c>
      <c r="K23" s="14">
        <f>66720.9-3288.73</f>
        <v>63432.169999999991</v>
      </c>
      <c r="L23" s="14">
        <v>176160</v>
      </c>
      <c r="M23" s="14">
        <v>213520</v>
      </c>
      <c r="N23" s="14">
        <v>213520</v>
      </c>
      <c r="O23" s="14">
        <v>238720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>
        <v>1699222.77</v>
      </c>
      <c r="AC23" s="14">
        <v>1774230.66</v>
      </c>
      <c r="AD23" s="14">
        <v>1818045.82</v>
      </c>
      <c r="AE23" s="14">
        <v>2481857.59</v>
      </c>
      <c r="AF23" s="14">
        <v>32078.01</v>
      </c>
      <c r="AG23" s="14">
        <v>31994.639999999999</v>
      </c>
      <c r="AH23" s="14">
        <v>28672.71</v>
      </c>
      <c r="AI23" s="14">
        <v>29881.02</v>
      </c>
      <c r="AJ23" s="44">
        <v>2010</v>
      </c>
      <c r="AK23" s="44">
        <f t="shared" si="0"/>
        <v>11</v>
      </c>
      <c r="AL23" s="44">
        <v>1</v>
      </c>
      <c r="AM23" s="44">
        <v>1</v>
      </c>
      <c r="AN23" s="44" t="s">
        <v>66</v>
      </c>
    </row>
    <row r="24" spans="1:40" ht="45" x14ac:dyDescent="0.25">
      <c r="A24" s="4" t="s">
        <v>107</v>
      </c>
      <c r="B24" s="17" t="s">
        <v>106</v>
      </c>
      <c r="C24" s="8" t="s">
        <v>108</v>
      </c>
      <c r="D24" s="5">
        <f>1193926+33401</f>
        <v>1227327</v>
      </c>
      <c r="E24" s="5">
        <f>1106439+16654</f>
        <v>1123093</v>
      </c>
      <c r="F24" s="5">
        <f>1109249+23663</f>
        <v>1132912</v>
      </c>
      <c r="G24" s="5">
        <f>2269401+12828</f>
        <v>2282229</v>
      </c>
      <c r="H24" s="5">
        <v>33401</v>
      </c>
      <c r="I24" s="5">
        <v>16654</v>
      </c>
      <c r="J24" s="5">
        <v>23663</v>
      </c>
      <c r="K24" s="5">
        <v>12828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>
        <v>335788</v>
      </c>
      <c r="AC24" s="5">
        <v>269786</v>
      </c>
      <c r="AD24" s="5">
        <v>490808</v>
      </c>
      <c r="AE24" s="5">
        <v>1033682</v>
      </c>
      <c r="AF24" s="5">
        <v>31125</v>
      </c>
      <c r="AG24" s="5">
        <v>33675</v>
      </c>
      <c r="AH24" s="5">
        <v>34908</v>
      </c>
      <c r="AI24" s="5">
        <v>40400</v>
      </c>
      <c r="AJ24" s="39">
        <v>2007</v>
      </c>
      <c r="AK24" s="39">
        <f t="shared" si="0"/>
        <v>14</v>
      </c>
      <c r="AL24" s="39">
        <v>1</v>
      </c>
      <c r="AM24" s="39">
        <v>1</v>
      </c>
      <c r="AN24" s="39" t="s">
        <v>17</v>
      </c>
    </row>
    <row r="25" spans="1:40" ht="45" x14ac:dyDescent="0.25">
      <c r="A25" s="4" t="s">
        <v>117</v>
      </c>
      <c r="B25" s="17" t="s">
        <v>116</v>
      </c>
      <c r="C25" s="8" t="s">
        <v>118</v>
      </c>
      <c r="D25" s="5">
        <f>2279201.98+621275.89</f>
        <v>2900477.87</v>
      </c>
      <c r="E25" s="5">
        <f>1037369.95+449818.3</f>
        <v>1487188.25</v>
      </c>
      <c r="F25" s="5">
        <f>7132285.05</f>
        <v>7132285.0499999998</v>
      </c>
      <c r="G25" s="5">
        <f>3570942.15</f>
        <v>3570942.15</v>
      </c>
      <c r="H25" s="5">
        <f>559992.63-2226.12</f>
        <v>557766.51</v>
      </c>
      <c r="I25" s="5">
        <f>410938.4-4054.76</f>
        <v>406883.64</v>
      </c>
      <c r="J25" s="5">
        <f>423093.93-12231.13</f>
        <v>410862.8</v>
      </c>
      <c r="K25" s="5">
        <f>272580.43-171612.08</f>
        <v>100968.35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>
        <v>8734203.2699999996</v>
      </c>
      <c r="AC25" s="5">
        <v>11255584.050000001</v>
      </c>
      <c r="AD25" s="5">
        <v>11617533.550000001</v>
      </c>
      <c r="AE25" s="5">
        <v>12388335.43</v>
      </c>
      <c r="AF25" s="5">
        <f>230277+1258.38</f>
        <v>231535.38</v>
      </c>
      <c r="AG25" s="5">
        <f>246408.37+561.78</f>
        <v>246970.15</v>
      </c>
      <c r="AH25" s="5">
        <v>176844.77</v>
      </c>
      <c r="AI25" s="5">
        <v>98465.69</v>
      </c>
      <c r="AJ25" s="39">
        <v>2000</v>
      </c>
      <c r="AK25" s="39">
        <f t="shared" si="0"/>
        <v>21</v>
      </c>
      <c r="AL25" s="39">
        <v>1</v>
      </c>
      <c r="AM25" s="39">
        <v>1</v>
      </c>
      <c r="AN25" s="39" t="s">
        <v>66</v>
      </c>
    </row>
    <row r="26" spans="1:40" ht="75" x14ac:dyDescent="0.25">
      <c r="A26" s="4" t="s">
        <v>120</v>
      </c>
      <c r="B26" s="17" t="s">
        <v>119</v>
      </c>
      <c r="C26" s="8" t="s">
        <v>121</v>
      </c>
      <c r="D26" s="5">
        <f>2781026+271591</f>
        <v>3052617</v>
      </c>
      <c r="E26" s="5">
        <f>2667372+146934</f>
        <v>2814306</v>
      </c>
      <c r="F26" s="5">
        <f>3910888+204438</f>
        <v>4115326</v>
      </c>
      <c r="G26" s="5">
        <v>5180155</v>
      </c>
      <c r="H26" s="5">
        <v>271591</v>
      </c>
      <c r="I26" s="5">
        <v>146934</v>
      </c>
      <c r="J26" s="5">
        <v>204438</v>
      </c>
      <c r="K26" s="5">
        <v>122254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>
        <v>3878997</v>
      </c>
      <c r="AC26" s="5">
        <v>4271486</v>
      </c>
      <c r="AD26" s="5">
        <v>5333526</v>
      </c>
      <c r="AE26" s="41" t="s">
        <v>115</v>
      </c>
      <c r="AF26" s="5">
        <v>66883</v>
      </c>
      <c r="AG26" s="5">
        <v>51215</v>
      </c>
      <c r="AH26" s="5">
        <v>40255</v>
      </c>
      <c r="AI26" s="41" t="s">
        <v>115</v>
      </c>
      <c r="AJ26" s="39">
        <v>2005</v>
      </c>
      <c r="AK26" s="39">
        <f t="shared" si="0"/>
        <v>16</v>
      </c>
      <c r="AL26" s="39">
        <v>1</v>
      </c>
      <c r="AM26" s="39">
        <v>1</v>
      </c>
      <c r="AN26" s="39" t="s">
        <v>5</v>
      </c>
    </row>
    <row r="27" spans="1:40" s="15" customFormat="1" ht="60" x14ac:dyDescent="0.25">
      <c r="A27" s="11" t="s">
        <v>123</v>
      </c>
      <c r="B27" s="12" t="s">
        <v>122</v>
      </c>
      <c r="C27" s="16" t="s">
        <v>339</v>
      </c>
      <c r="D27" s="14">
        <f>2993790+19052+5372</f>
        <v>3018214</v>
      </c>
      <c r="E27" s="14">
        <f>2201996+2217925-19357</f>
        <v>4400564</v>
      </c>
      <c r="F27" s="14">
        <f>2439078+3262437-18267</f>
        <v>5683248</v>
      </c>
      <c r="G27" s="14">
        <f>4915519.27+732411.04+8797.5-6420.6</f>
        <v>5650307.21</v>
      </c>
      <c r="H27" s="14">
        <v>19052</v>
      </c>
      <c r="I27" s="14">
        <v>0</v>
      </c>
      <c r="J27" s="14">
        <v>0</v>
      </c>
      <c r="K27" s="14">
        <f>8797.5-6420.6</f>
        <v>2376.8999999999996</v>
      </c>
      <c r="L27" s="41" t="s">
        <v>115</v>
      </c>
      <c r="M27" s="14">
        <v>140000</v>
      </c>
      <c r="N27" s="14">
        <v>511530</v>
      </c>
      <c r="O27" s="14">
        <v>153040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v>1205864</v>
      </c>
      <c r="AC27" s="14">
        <v>2178770</v>
      </c>
      <c r="AD27" s="14">
        <v>6068343</v>
      </c>
      <c r="AE27" s="14">
        <v>1903704.54</v>
      </c>
      <c r="AF27" s="14">
        <v>14862</v>
      </c>
      <c r="AG27" s="14">
        <v>11934</v>
      </c>
      <c r="AH27" s="14">
        <v>1217034</v>
      </c>
      <c r="AI27" s="14">
        <v>1224414.78</v>
      </c>
      <c r="AJ27" s="39">
        <v>2000</v>
      </c>
      <c r="AK27" s="39">
        <f t="shared" si="0"/>
        <v>21</v>
      </c>
      <c r="AL27" s="39">
        <v>7</v>
      </c>
      <c r="AM27" s="39">
        <v>1</v>
      </c>
      <c r="AN27" s="39" t="s">
        <v>124</v>
      </c>
    </row>
    <row r="28" spans="1:40" ht="75" x14ac:dyDescent="0.25">
      <c r="A28" s="4" t="s">
        <v>129</v>
      </c>
      <c r="B28" s="17" t="s">
        <v>128</v>
      </c>
      <c r="C28" s="8" t="s">
        <v>130</v>
      </c>
      <c r="D28" s="5">
        <f>15440419</f>
        <v>15440419</v>
      </c>
      <c r="E28" s="5">
        <v>11499186</v>
      </c>
      <c r="F28" s="5">
        <f>22381630</f>
        <v>22381630</v>
      </c>
      <c r="G28" s="5">
        <v>17781156</v>
      </c>
      <c r="H28" s="5">
        <v>0</v>
      </c>
      <c r="I28" s="5">
        <v>0</v>
      </c>
      <c r="J28" s="5">
        <v>0</v>
      </c>
      <c r="K28" s="5">
        <v>0</v>
      </c>
      <c r="L28" s="5">
        <v>2422660</v>
      </c>
      <c r="M28" s="5">
        <v>2260366</v>
      </c>
      <c r="N28" s="5">
        <v>2864833</v>
      </c>
      <c r="O28" s="5">
        <v>740899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v>17459058</v>
      </c>
      <c r="AC28" s="5">
        <v>18218077</v>
      </c>
      <c r="AD28" s="5">
        <v>18514241</v>
      </c>
      <c r="AE28" s="5">
        <v>18819748</v>
      </c>
      <c r="AF28" s="5">
        <f>10804717+1028</f>
        <v>10805745</v>
      </c>
      <c r="AG28" s="5">
        <f>10770783+1028</f>
        <v>10771811</v>
      </c>
      <c r="AH28" s="5">
        <f>13733755-3548882+11552-4103</f>
        <v>10192322</v>
      </c>
      <c r="AI28" s="5">
        <f>15858421-4052079+11552-5487</f>
        <v>11812407</v>
      </c>
      <c r="AJ28" s="39">
        <v>1991</v>
      </c>
      <c r="AK28" s="39">
        <f t="shared" si="0"/>
        <v>30</v>
      </c>
      <c r="AL28" s="39">
        <v>3</v>
      </c>
      <c r="AM28" s="39">
        <v>1</v>
      </c>
      <c r="AN28" s="39" t="s">
        <v>30</v>
      </c>
    </row>
    <row r="29" spans="1:40" ht="45.6" customHeight="1" x14ac:dyDescent="0.25">
      <c r="A29" s="4" t="s">
        <v>132</v>
      </c>
      <c r="B29" s="17" t="s">
        <v>131</v>
      </c>
      <c r="C29" s="8" t="s">
        <v>133</v>
      </c>
      <c r="D29" s="5">
        <f>782764+17580</f>
        <v>800344</v>
      </c>
      <c r="E29" s="5">
        <f>2487075+24370</f>
        <v>2511445</v>
      </c>
      <c r="F29" s="5">
        <f>2712921</f>
        <v>2712921</v>
      </c>
      <c r="G29" s="5">
        <f>2767348+973</f>
        <v>2768321</v>
      </c>
      <c r="H29" s="5">
        <v>0</v>
      </c>
      <c r="I29" s="5">
        <v>0</v>
      </c>
      <c r="J29" s="5">
        <v>0</v>
      </c>
      <c r="K29" s="5">
        <v>973</v>
      </c>
      <c r="L29" s="5">
        <v>135918</v>
      </c>
      <c r="M29" s="5">
        <v>116279</v>
      </c>
      <c r="N29" s="5">
        <v>119411</v>
      </c>
      <c r="O29" s="5">
        <v>104453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>
        <v>298226</v>
      </c>
      <c r="AC29" s="5">
        <v>1291070</v>
      </c>
      <c r="AD29" s="5">
        <v>1851040</v>
      </c>
      <c r="AE29" s="5">
        <v>7957042</v>
      </c>
      <c r="AF29" s="5">
        <v>154518</v>
      </c>
      <c r="AG29" s="5">
        <v>275910</v>
      </c>
      <c r="AH29" s="5">
        <v>255454</v>
      </c>
      <c r="AI29" s="5">
        <v>218491</v>
      </c>
      <c r="AJ29" s="39">
        <v>2003</v>
      </c>
      <c r="AK29" s="39">
        <f t="shared" si="0"/>
        <v>18</v>
      </c>
      <c r="AL29" s="39">
        <v>7</v>
      </c>
      <c r="AM29" s="39">
        <v>1</v>
      </c>
      <c r="AN29" s="39" t="s">
        <v>134</v>
      </c>
    </row>
    <row r="30" spans="1:40" ht="45" x14ac:dyDescent="0.25">
      <c r="A30" s="4" t="s">
        <v>137</v>
      </c>
      <c r="B30" s="17" t="s">
        <v>135</v>
      </c>
      <c r="C30" s="8" t="s">
        <v>138</v>
      </c>
      <c r="D30" s="5">
        <f>10246000+1461000</f>
        <v>11707000</v>
      </c>
      <c r="E30" s="5">
        <f>12797000+3128000</f>
        <v>15925000</v>
      </c>
      <c r="F30" s="5">
        <f>17238000+847000</f>
        <v>18085000</v>
      </c>
      <c r="G30" s="5">
        <f>19299000+2703000</f>
        <v>22002000</v>
      </c>
      <c r="H30" s="5">
        <v>1461000</v>
      </c>
      <c r="I30" s="5">
        <v>3128000</v>
      </c>
      <c r="J30" s="5">
        <v>847000</v>
      </c>
      <c r="K30" s="5">
        <v>2703000</v>
      </c>
      <c r="L30" s="41" t="s">
        <v>115</v>
      </c>
      <c r="M30" s="41" t="s">
        <v>115</v>
      </c>
      <c r="N30" s="41" t="s">
        <v>115</v>
      </c>
      <c r="O30" s="5">
        <v>254000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>
        <v>50325000</v>
      </c>
      <c r="AC30" s="5">
        <v>91455000</v>
      </c>
      <c r="AD30" s="5">
        <v>28195000</v>
      </c>
      <c r="AE30" s="5">
        <v>32695000</v>
      </c>
      <c r="AF30" s="5">
        <v>18335000</v>
      </c>
      <c r="AG30" s="5">
        <v>19945000</v>
      </c>
      <c r="AH30" s="5">
        <v>28195000</v>
      </c>
      <c r="AI30" s="5">
        <v>32695000</v>
      </c>
      <c r="AJ30" s="39">
        <v>1992</v>
      </c>
      <c r="AK30" s="39">
        <f t="shared" si="0"/>
        <v>29</v>
      </c>
      <c r="AL30" s="39">
        <v>4</v>
      </c>
      <c r="AM30" s="39">
        <v>1</v>
      </c>
      <c r="AN30" s="39" t="s">
        <v>136</v>
      </c>
    </row>
    <row r="31" spans="1:40" s="15" customFormat="1" ht="45" x14ac:dyDescent="0.25">
      <c r="A31" s="11" t="s">
        <v>140</v>
      </c>
      <c r="B31" s="12" t="s">
        <v>139</v>
      </c>
      <c r="C31" s="16" t="s">
        <v>141</v>
      </c>
      <c r="D31" s="14">
        <f>6855000</f>
        <v>6855000</v>
      </c>
      <c r="E31" s="14">
        <f>7496000+119000-2000</f>
        <v>7613000</v>
      </c>
      <c r="F31" s="14">
        <f>7647000+109000-6000</f>
        <v>7750000</v>
      </c>
      <c r="G31" s="14">
        <f>5939000+16000</f>
        <v>5955000</v>
      </c>
      <c r="H31" s="14">
        <v>0</v>
      </c>
      <c r="I31" s="14">
        <f>119000-2000</f>
        <v>117000</v>
      </c>
      <c r="J31" s="14">
        <f>109000-6000</f>
        <v>103000</v>
      </c>
      <c r="K31" s="14">
        <f>16000-4000</f>
        <v>12000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>
        <v>32974000</v>
      </c>
      <c r="AC31" s="14">
        <v>31059000</v>
      </c>
      <c r="AD31" s="14">
        <v>28236000</v>
      </c>
      <c r="AE31" s="14">
        <v>24791000</v>
      </c>
      <c r="AF31" s="14">
        <v>9340000</v>
      </c>
      <c r="AG31" s="14">
        <v>9265000</v>
      </c>
      <c r="AH31" s="14">
        <v>9185000</v>
      </c>
      <c r="AI31" s="14">
        <v>9094000</v>
      </c>
      <c r="AJ31" s="44">
        <v>1984</v>
      </c>
      <c r="AK31" s="44">
        <f t="shared" si="0"/>
        <v>37</v>
      </c>
      <c r="AL31" s="44">
        <v>4</v>
      </c>
      <c r="AM31" s="44">
        <v>1</v>
      </c>
      <c r="AN31" s="44" t="s">
        <v>51</v>
      </c>
    </row>
    <row r="32" spans="1:40" ht="75" x14ac:dyDescent="0.25">
      <c r="A32" s="4" t="s">
        <v>143</v>
      </c>
      <c r="B32" s="17" t="s">
        <v>142</v>
      </c>
      <c r="C32" s="8" t="s">
        <v>149</v>
      </c>
      <c r="D32" s="5">
        <f>11086201+10219936+780414+500254+288442</f>
        <v>22875247</v>
      </c>
      <c r="E32" s="5">
        <f>13681497+10970251+1063292+342851+129441+17849</f>
        <v>26205181</v>
      </c>
      <c r="F32" s="5">
        <f>13106199+11267675+114307+1495046+143679+24528+53655</f>
        <v>26205089</v>
      </c>
      <c r="G32" s="5">
        <f>13070202+9100115+304101+1318070+64445+19776</f>
        <v>23876709</v>
      </c>
      <c r="H32" s="5">
        <v>0</v>
      </c>
      <c r="I32" s="5">
        <v>0</v>
      </c>
      <c r="J32" s="5">
        <v>0</v>
      </c>
      <c r="K32" s="5">
        <v>0</v>
      </c>
      <c r="L32" s="41" t="s">
        <v>115</v>
      </c>
      <c r="M32" s="5">
        <v>17849</v>
      </c>
      <c r="N32" s="5">
        <v>24528</v>
      </c>
      <c r="O32" s="5">
        <v>19776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>
        <v>32332976</v>
      </c>
      <c r="AC32" s="5">
        <v>31617108</v>
      </c>
      <c r="AD32" s="5">
        <v>30605466</v>
      </c>
      <c r="AE32" s="5">
        <v>39574878</v>
      </c>
      <c r="AF32" s="5">
        <f>3786956+85074</f>
        <v>3872030</v>
      </c>
      <c r="AG32" s="5">
        <f>3591033+94811</f>
        <v>3685844</v>
      </c>
      <c r="AH32" s="5">
        <f>3450057+82050</f>
        <v>3532107</v>
      </c>
      <c r="AI32" s="5">
        <f>3144773+67257</f>
        <v>3212030</v>
      </c>
      <c r="AJ32" s="39">
        <v>1995</v>
      </c>
      <c r="AK32" s="39">
        <f t="shared" si="0"/>
        <v>26</v>
      </c>
      <c r="AL32" s="39">
        <v>4</v>
      </c>
      <c r="AM32" s="39">
        <v>1</v>
      </c>
      <c r="AN32" s="39" t="s">
        <v>144</v>
      </c>
    </row>
    <row r="33" spans="1:40" s="15" customFormat="1" ht="75" x14ac:dyDescent="0.25">
      <c r="A33" s="11" t="s">
        <v>146</v>
      </c>
      <c r="B33" s="12" t="s">
        <v>145</v>
      </c>
      <c r="C33" s="16" t="s">
        <v>148</v>
      </c>
      <c r="D33" s="14">
        <f>7204185.05+110473</f>
        <v>7314658.0499999998</v>
      </c>
      <c r="E33" s="14">
        <f>6076.97+8154951.06+31800.2</f>
        <v>8192828.2299999995</v>
      </c>
      <c r="F33" s="14">
        <f>8400000+114000</f>
        <v>8514000</v>
      </c>
      <c r="G33" s="14">
        <f>13560000+15000</f>
        <v>13575000</v>
      </c>
      <c r="H33" s="14">
        <v>0</v>
      </c>
      <c r="I33" s="14">
        <v>6076.97</v>
      </c>
      <c r="J33" s="14">
        <v>0</v>
      </c>
      <c r="K33" s="14">
        <v>36000</v>
      </c>
      <c r="L33" s="14"/>
      <c r="M33" s="14"/>
      <c r="N33" s="14"/>
      <c r="O33" s="14"/>
      <c r="P33" s="14">
        <f>110473</f>
        <v>110473</v>
      </c>
      <c r="Q33" s="14">
        <f>31800+6076.97</f>
        <v>37876.97</v>
      </c>
      <c r="R33" s="14" t="s">
        <v>115</v>
      </c>
      <c r="S33" s="14" t="s">
        <v>115</v>
      </c>
      <c r="T33" s="14">
        <v>7204185.0499999998</v>
      </c>
      <c r="U33" s="14">
        <v>8154951.0599999996</v>
      </c>
      <c r="V33" s="14" t="s">
        <v>115</v>
      </c>
      <c r="W33" s="14" t="s">
        <v>115</v>
      </c>
      <c r="X33" s="14"/>
      <c r="Y33" s="14"/>
      <c r="Z33" s="14"/>
      <c r="AA33" s="14"/>
      <c r="AB33" s="14">
        <v>2474180.9900000002</v>
      </c>
      <c r="AC33" s="14">
        <v>3135513.54</v>
      </c>
      <c r="AD33" s="14">
        <v>12528000</v>
      </c>
      <c r="AE33" s="14">
        <v>23430000</v>
      </c>
      <c r="AF33" s="14">
        <f>1001193.11-272662.84</f>
        <v>728530.27</v>
      </c>
      <c r="AG33" s="14">
        <f>1226408.04-175950</f>
        <v>1050458.04</v>
      </c>
      <c r="AH33" s="14">
        <f>2449000</f>
        <v>2449000</v>
      </c>
      <c r="AI33" s="14">
        <v>2837000</v>
      </c>
      <c r="AJ33" s="44">
        <v>2005</v>
      </c>
      <c r="AK33" s="44">
        <f t="shared" si="0"/>
        <v>16</v>
      </c>
      <c r="AL33" s="44">
        <v>4</v>
      </c>
      <c r="AM33" s="44">
        <v>1</v>
      </c>
      <c r="AN33" s="44" t="s">
        <v>147</v>
      </c>
    </row>
    <row r="34" spans="1:40" ht="75" x14ac:dyDescent="0.25">
      <c r="A34" s="4" t="s">
        <v>154</v>
      </c>
      <c r="B34" s="17" t="s">
        <v>153</v>
      </c>
      <c r="C34" s="8" t="s">
        <v>157</v>
      </c>
      <c r="D34" s="5">
        <f>886311.05+17538.45</f>
        <v>903849.5</v>
      </c>
      <c r="E34" s="5">
        <f>931718.83+15919.22</f>
        <v>947638.04999999993</v>
      </c>
      <c r="F34" s="5">
        <f>1055237.25</f>
        <v>1055237.25</v>
      </c>
      <c r="G34" s="5">
        <v>2728080.41</v>
      </c>
      <c r="H34" s="5">
        <f>17538.45-6938.11</f>
        <v>10600.34</v>
      </c>
      <c r="I34" s="5">
        <f>15919.22-9807.55</f>
        <v>6111.67</v>
      </c>
      <c r="J34" s="5">
        <v>0</v>
      </c>
      <c r="K34" s="5">
        <v>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>
        <v>419031.14</v>
      </c>
      <c r="AC34" s="5">
        <v>389786.18</v>
      </c>
      <c r="AD34" s="5">
        <v>578807.49</v>
      </c>
      <c r="AE34" s="5">
        <v>426980.25</v>
      </c>
      <c r="AF34" s="5">
        <v>49967.51</v>
      </c>
      <c r="AG34" s="5">
        <v>30446.57</v>
      </c>
      <c r="AH34" s="5">
        <v>38425.21</v>
      </c>
      <c r="AI34" s="5">
        <v>27920.63</v>
      </c>
      <c r="AJ34" s="39">
        <v>2005</v>
      </c>
      <c r="AK34" s="39">
        <f t="shared" si="0"/>
        <v>16</v>
      </c>
      <c r="AL34" s="39">
        <v>7</v>
      </c>
      <c r="AM34" s="39">
        <v>1</v>
      </c>
      <c r="AN34" s="39" t="s">
        <v>66</v>
      </c>
    </row>
    <row r="35" spans="1:40" ht="60" x14ac:dyDescent="0.25">
      <c r="A35" s="4" t="s">
        <v>156</v>
      </c>
      <c r="B35" s="17" t="s">
        <v>155</v>
      </c>
      <c r="C35" s="8" t="s">
        <v>158</v>
      </c>
      <c r="D35" s="5">
        <f>1960401+118062</f>
        <v>2078463</v>
      </c>
      <c r="E35" s="5">
        <f>1737661+33059</f>
        <v>1770720</v>
      </c>
      <c r="F35" s="5">
        <f>2496370+25773</f>
        <v>2522143</v>
      </c>
      <c r="G35" s="5">
        <f>2470555+17036</f>
        <v>2487591</v>
      </c>
      <c r="H35" s="5">
        <v>118062</v>
      </c>
      <c r="I35" s="5">
        <v>33059</v>
      </c>
      <c r="J35" s="5">
        <v>25773</v>
      </c>
      <c r="K35" s="5">
        <v>17036</v>
      </c>
      <c r="L35" s="5">
        <v>171352</v>
      </c>
      <c r="M35" s="5">
        <v>65741</v>
      </c>
      <c r="N35" s="5">
        <v>40829</v>
      </c>
      <c r="O35" s="5">
        <v>4115</v>
      </c>
      <c r="P35" s="5">
        <v>854516</v>
      </c>
      <c r="Q35" s="5">
        <v>547328</v>
      </c>
      <c r="R35" s="5">
        <v>1121591</v>
      </c>
      <c r="S35" s="5">
        <v>833899</v>
      </c>
      <c r="T35" s="5">
        <v>1105885</v>
      </c>
      <c r="U35" s="5">
        <v>1190333</v>
      </c>
      <c r="V35" s="5">
        <v>1374779</v>
      </c>
      <c r="W35" s="5">
        <v>1636656</v>
      </c>
      <c r="X35" s="5"/>
      <c r="Y35" s="5"/>
      <c r="Z35" s="5"/>
      <c r="AA35" s="5"/>
      <c r="AB35" s="5">
        <v>1543028</v>
      </c>
      <c r="AC35" s="5">
        <v>1464980</v>
      </c>
      <c r="AD35" s="5">
        <v>1623450</v>
      </c>
      <c r="AE35" s="5">
        <v>1806777</v>
      </c>
      <c r="AF35" s="5">
        <v>186195</v>
      </c>
      <c r="AG35" s="5">
        <v>155547</v>
      </c>
      <c r="AH35" s="5">
        <v>141706</v>
      </c>
      <c r="AI35" s="5">
        <v>132296</v>
      </c>
      <c r="AJ35" s="39">
        <v>2011</v>
      </c>
      <c r="AK35" s="39">
        <f t="shared" si="0"/>
        <v>10</v>
      </c>
      <c r="AL35" s="39">
        <v>1</v>
      </c>
      <c r="AM35" s="39">
        <v>1</v>
      </c>
      <c r="AN35" s="39" t="s">
        <v>5</v>
      </c>
    </row>
    <row r="36" spans="1:40" ht="41.45" customHeight="1" x14ac:dyDescent="0.25">
      <c r="A36" s="4" t="s">
        <v>163</v>
      </c>
      <c r="B36" s="17" t="s">
        <v>162</v>
      </c>
      <c r="C36" s="8" t="s">
        <v>340</v>
      </c>
      <c r="D36" s="5">
        <f>2201922+1913025</f>
        <v>4114947</v>
      </c>
      <c r="E36" s="5">
        <f>5002565</f>
        <v>5002565</v>
      </c>
      <c r="F36" s="5">
        <f>3797220</f>
        <v>3797220</v>
      </c>
      <c r="G36" s="5">
        <f>4486622</f>
        <v>4486622</v>
      </c>
      <c r="H36" s="5">
        <f>22720-14821</f>
        <v>7899</v>
      </c>
      <c r="I36" s="5">
        <f>35932-15356</f>
        <v>20576</v>
      </c>
      <c r="J36" s="5">
        <f>70947-25105</f>
        <v>45842</v>
      </c>
      <c r="K36" s="5">
        <f>50464-21041</f>
        <v>29423</v>
      </c>
      <c r="L36" s="5"/>
      <c r="M36" s="5"/>
      <c r="N36" s="5"/>
      <c r="O36" s="5"/>
      <c r="P36" s="5">
        <v>2201922</v>
      </c>
      <c r="Q36" s="5">
        <v>3053026</v>
      </c>
      <c r="R36" s="5">
        <v>1896604</v>
      </c>
      <c r="S36" s="5">
        <v>1499082</v>
      </c>
      <c r="T36" s="5">
        <f>1913025</f>
        <v>1913025</v>
      </c>
      <c r="U36" s="5">
        <f>1949539</f>
        <v>1949539</v>
      </c>
      <c r="V36" s="5">
        <f>1900616</f>
        <v>1900616</v>
      </c>
      <c r="W36" s="5">
        <f>2987540</f>
        <v>2987540</v>
      </c>
      <c r="X36" s="5"/>
      <c r="Y36" s="5"/>
      <c r="Z36" s="5"/>
      <c r="AA36" s="5"/>
      <c r="AB36" s="5">
        <v>889847</v>
      </c>
      <c r="AC36" s="5">
        <v>1520956</v>
      </c>
      <c r="AD36" s="5">
        <v>2719625</v>
      </c>
      <c r="AE36" s="5">
        <v>3118499</v>
      </c>
      <c r="AF36" s="5">
        <v>194366</v>
      </c>
      <c r="AG36" s="5">
        <v>162933</v>
      </c>
      <c r="AH36" s="5">
        <v>137350</v>
      </c>
      <c r="AI36" s="5">
        <v>106570</v>
      </c>
      <c r="AJ36" s="39">
        <v>2001</v>
      </c>
      <c r="AK36" s="39">
        <f t="shared" si="0"/>
        <v>20</v>
      </c>
      <c r="AL36" s="39">
        <v>4</v>
      </c>
      <c r="AM36" s="39">
        <v>1</v>
      </c>
      <c r="AN36" s="39" t="s">
        <v>5</v>
      </c>
    </row>
    <row r="37" spans="1:40" ht="60" x14ac:dyDescent="0.25">
      <c r="A37" s="4" t="s">
        <v>165</v>
      </c>
      <c r="B37" s="17" t="s">
        <v>164</v>
      </c>
      <c r="C37" s="8" t="s">
        <v>169</v>
      </c>
      <c r="D37" s="5">
        <f>11341985+62282</f>
        <v>11404267</v>
      </c>
      <c r="E37" s="5">
        <v>10431914</v>
      </c>
      <c r="F37" s="5">
        <f>10688275</f>
        <v>10688275</v>
      </c>
      <c r="G37" s="5">
        <f>11357298</f>
        <v>11357298</v>
      </c>
      <c r="H37" s="5">
        <v>62282</v>
      </c>
      <c r="I37" s="5">
        <v>0</v>
      </c>
      <c r="J37" s="5">
        <v>0</v>
      </c>
      <c r="K37" s="5">
        <v>0</v>
      </c>
      <c r="L37" s="5"/>
      <c r="M37" s="5"/>
      <c r="N37" s="5"/>
      <c r="O37" s="5"/>
      <c r="P37" s="5">
        <f>277136+8113432</f>
        <v>8390568</v>
      </c>
      <c r="Q37" s="5">
        <f>1791413+6449861</f>
        <v>8241274</v>
      </c>
      <c r="R37" s="5">
        <v>6737811</v>
      </c>
      <c r="S37" s="5">
        <v>5527121</v>
      </c>
      <c r="T37" s="5">
        <f>2951417+62282</f>
        <v>3013699</v>
      </c>
      <c r="U37" s="5">
        <v>2190640</v>
      </c>
      <c r="V37" s="5">
        <f>3944824+5640</f>
        <v>3950464</v>
      </c>
      <c r="W37" s="5">
        <f>5822991+7186</f>
        <v>5830177</v>
      </c>
      <c r="X37" s="5"/>
      <c r="Y37" s="5"/>
      <c r="Z37" s="5"/>
      <c r="AA37" s="5"/>
      <c r="AB37" s="5">
        <v>11539260</v>
      </c>
      <c r="AC37" s="5">
        <v>12088120</v>
      </c>
      <c r="AD37" s="5">
        <v>8130207</v>
      </c>
      <c r="AE37" s="5">
        <v>6460794</v>
      </c>
      <c r="AF37" s="5">
        <v>5617386</v>
      </c>
      <c r="AG37" s="5">
        <v>5251833</v>
      </c>
      <c r="AH37" s="5">
        <v>5100482</v>
      </c>
      <c r="AI37" s="5">
        <v>4893683</v>
      </c>
      <c r="AJ37" s="39">
        <v>1978</v>
      </c>
      <c r="AK37" s="39">
        <f t="shared" si="0"/>
        <v>43</v>
      </c>
      <c r="AL37" s="39">
        <v>1</v>
      </c>
      <c r="AM37" s="39">
        <v>1</v>
      </c>
      <c r="AN37" s="39" t="s">
        <v>166</v>
      </c>
    </row>
    <row r="38" spans="1:40" ht="60" x14ac:dyDescent="0.25">
      <c r="A38" s="4" t="s">
        <v>168</v>
      </c>
      <c r="B38" s="17" t="s">
        <v>167</v>
      </c>
      <c r="C38" s="8" t="s">
        <v>170</v>
      </c>
      <c r="D38" s="5">
        <f>51878659.07</f>
        <v>51878659.07</v>
      </c>
      <c r="E38" s="5">
        <f>50313064.34</f>
        <v>50313064.340000004</v>
      </c>
      <c r="F38" s="5">
        <f>50583475.96+1225837.86</f>
        <v>51809313.82</v>
      </c>
      <c r="G38" s="5">
        <f>30977688.03+246534.73</f>
        <v>31224222.760000002</v>
      </c>
      <c r="H38" s="5">
        <f>11464.44+3695431.84-182789.71</f>
        <v>3524106.57</v>
      </c>
      <c r="I38" s="5">
        <f>24002.23+1805846.72-121246.78</f>
        <v>1708602.17</v>
      </c>
      <c r="J38" s="5">
        <v>1225837.8600000001</v>
      </c>
      <c r="K38" s="5">
        <v>246534.73</v>
      </c>
      <c r="L38" s="5">
        <v>80804.33</v>
      </c>
      <c r="M38" s="5">
        <v>96026.240000000005</v>
      </c>
      <c r="N38" s="5">
        <v>101802.92</v>
      </c>
      <c r="O38" s="5">
        <v>61198.75</v>
      </c>
      <c r="P38" s="5">
        <v>6202852.2800000003</v>
      </c>
      <c r="Q38" s="5">
        <v>6555081.9400000004</v>
      </c>
      <c r="R38" s="5">
        <v>6488885.0099999998</v>
      </c>
      <c r="S38" s="5">
        <v>6253222.4000000004</v>
      </c>
      <c r="T38" s="5">
        <f>45675806.79</f>
        <v>45675806.789999999</v>
      </c>
      <c r="U38" s="5">
        <f>43757982.4</f>
        <v>43757982.399999999</v>
      </c>
      <c r="V38" s="5">
        <f>559530.96+39142298.24+4290958.83+101802.92+1225837.86</f>
        <v>45320428.810000002</v>
      </c>
      <c r="W38" s="5">
        <f>404550.14+24258716.74+61198.75+246534.73</f>
        <v>24971000.359999999</v>
      </c>
      <c r="X38" s="5"/>
      <c r="Y38" s="5"/>
      <c r="Z38" s="5"/>
      <c r="AA38" s="5"/>
      <c r="AB38" s="5">
        <v>61712079.020000003</v>
      </c>
      <c r="AC38" s="5">
        <v>62740589.740000002</v>
      </c>
      <c r="AD38" s="5">
        <v>61437584.619999997</v>
      </c>
      <c r="AE38" s="5">
        <v>73167950.989999995</v>
      </c>
      <c r="AF38" s="5">
        <f>27464424.88+84647.48</f>
        <v>27549072.359999999</v>
      </c>
      <c r="AG38" s="5">
        <f>26969908.99+78332.68</f>
        <v>27048241.669999998</v>
      </c>
      <c r="AH38" s="5">
        <v>28288496.41</v>
      </c>
      <c r="AI38" s="5">
        <v>52286217.950000003</v>
      </c>
      <c r="AJ38" s="39">
        <v>1963</v>
      </c>
      <c r="AK38" s="39">
        <f t="shared" si="0"/>
        <v>58</v>
      </c>
      <c r="AL38" s="39">
        <v>1</v>
      </c>
      <c r="AM38" s="39">
        <v>1</v>
      </c>
      <c r="AN38" s="39" t="s">
        <v>171</v>
      </c>
    </row>
    <row r="39" spans="1:40" s="15" customFormat="1" ht="45" x14ac:dyDescent="0.25">
      <c r="A39" s="11" t="s">
        <v>173</v>
      </c>
      <c r="B39" s="12" t="s">
        <v>172</v>
      </c>
      <c r="C39" s="16" t="s">
        <v>174</v>
      </c>
      <c r="D39" s="14">
        <f>2384666.74</f>
        <v>2384666.7400000002</v>
      </c>
      <c r="E39" s="14">
        <f>2853935.17</f>
        <v>2853935.17</v>
      </c>
      <c r="F39" s="14">
        <f>2711865.89</f>
        <v>2711865.89</v>
      </c>
      <c r="G39" s="14">
        <v>2105440.29</v>
      </c>
      <c r="H39" s="14">
        <f>85673.99-11974.92</f>
        <v>73699.070000000007</v>
      </c>
      <c r="I39" s="14">
        <f>52526.98-11365.54</f>
        <v>41161.440000000002</v>
      </c>
      <c r="J39" s="14">
        <f>59530.35-10527.52</f>
        <v>49002.83</v>
      </c>
      <c r="K39" s="14">
        <f>28065.29-12216.05</f>
        <v>15849.240000000002</v>
      </c>
      <c r="L39" s="14">
        <v>111409.76</v>
      </c>
      <c r="M39" s="14">
        <v>102155.87</v>
      </c>
      <c r="N39" s="14">
        <v>65752.210000000006</v>
      </c>
      <c r="O39" s="14">
        <v>70437.119999999995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>
        <v>4489670.6900000004</v>
      </c>
      <c r="AC39" s="14">
        <v>4905298.12</v>
      </c>
      <c r="AD39" s="14">
        <v>4947306.8099999996</v>
      </c>
      <c r="AE39" s="14">
        <v>4722202.92</v>
      </c>
      <c r="AF39" s="14">
        <v>2276331.75</v>
      </c>
      <c r="AG39" s="14">
        <v>2157654.31</v>
      </c>
      <c r="AH39" s="14">
        <v>2078850.7</v>
      </c>
      <c r="AI39" s="14">
        <v>2000333.6</v>
      </c>
      <c r="AJ39" s="44">
        <v>1992</v>
      </c>
      <c r="AK39" s="44">
        <f t="shared" si="0"/>
        <v>29</v>
      </c>
      <c r="AL39" s="44">
        <v>1</v>
      </c>
      <c r="AM39" s="44">
        <v>1</v>
      </c>
      <c r="AN39" s="44" t="s">
        <v>171</v>
      </c>
    </row>
    <row r="40" spans="1:40" ht="75" x14ac:dyDescent="0.25">
      <c r="A40" s="4" t="s">
        <v>176</v>
      </c>
      <c r="B40" s="17" t="s">
        <v>175</v>
      </c>
      <c r="C40" s="8" t="s">
        <v>177</v>
      </c>
      <c r="D40" s="5">
        <f>121113000+46718000+4910000+7239000+2956000+249000+7776000</f>
        <v>190961000</v>
      </c>
      <c r="E40" s="5">
        <f>116352000+45345000+4835000+6314000+5889000+196000+9137000</f>
        <v>188068000</v>
      </c>
      <c r="F40" s="5">
        <f>189233180.43+2368032.91</f>
        <v>191601213.34</v>
      </c>
      <c r="G40" s="5">
        <f>169757451.76+1358816.29</f>
        <v>171116268.04999998</v>
      </c>
      <c r="H40" s="5">
        <v>0</v>
      </c>
      <c r="I40" s="5">
        <v>0</v>
      </c>
      <c r="J40" s="5">
        <v>0</v>
      </c>
      <c r="K40" s="5">
        <v>0</v>
      </c>
      <c r="L40" s="5">
        <f>42000+174000+32000</f>
        <v>248000</v>
      </c>
      <c r="M40" s="5">
        <f>55000+212000+7000</f>
        <v>274000</v>
      </c>
      <c r="N40" s="5">
        <f>1839866.73</f>
        <v>1839866.73</v>
      </c>
      <c r="O40" s="5">
        <v>1797377.76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>
        <v>626752000</v>
      </c>
      <c r="AC40" s="5">
        <v>638383000</v>
      </c>
      <c r="AD40" s="5">
        <v>680138487.11000001</v>
      </c>
      <c r="AE40" s="5">
        <v>688620704.78999996</v>
      </c>
      <c r="AF40" s="5">
        <f>364701000+186703000+516000</f>
        <v>551920000</v>
      </c>
      <c r="AG40" s="5">
        <f>375576000+182419000+466000</f>
        <v>558461000</v>
      </c>
      <c r="AH40" s="5">
        <f>588796580.1-31287047.09</f>
        <v>557509533.00999999</v>
      </c>
      <c r="AI40" s="5">
        <f>591440239.79-33140218.87</f>
        <v>558300020.91999996</v>
      </c>
      <c r="AJ40" s="39">
        <v>1947</v>
      </c>
      <c r="AK40" s="39">
        <f t="shared" si="0"/>
        <v>74</v>
      </c>
      <c r="AL40" s="39">
        <v>1</v>
      </c>
      <c r="AM40" s="39">
        <v>1</v>
      </c>
      <c r="AN40" s="39" t="s">
        <v>17</v>
      </c>
    </row>
    <row r="41" spans="1:40" ht="45" x14ac:dyDescent="0.25">
      <c r="A41" s="4" t="s">
        <v>180</v>
      </c>
      <c r="B41" s="17" t="s">
        <v>178</v>
      </c>
      <c r="C41" s="8" t="s">
        <v>179</v>
      </c>
      <c r="D41" s="5">
        <f>80517582</f>
        <v>80517582</v>
      </c>
      <c r="E41" s="5">
        <f>84392183</f>
        <v>84392183</v>
      </c>
      <c r="F41" s="5">
        <f>87229546</f>
        <v>87229546</v>
      </c>
      <c r="G41" s="5">
        <f>89600590</f>
        <v>89600590</v>
      </c>
      <c r="H41" s="5">
        <v>0</v>
      </c>
      <c r="I41" s="5">
        <v>0</v>
      </c>
      <c r="J41" s="5">
        <v>0</v>
      </c>
      <c r="K41" s="5">
        <v>0</v>
      </c>
      <c r="L41" s="5">
        <v>39175</v>
      </c>
      <c r="M41" s="5">
        <v>48009</v>
      </c>
      <c r="N41" s="5">
        <v>49233</v>
      </c>
      <c r="O41" s="5">
        <v>14629</v>
      </c>
      <c r="P41" s="5">
        <v>4294875</v>
      </c>
      <c r="Q41" s="5">
        <v>6325483</v>
      </c>
      <c r="R41" s="5">
        <v>5431974</v>
      </c>
      <c r="S41" s="5">
        <v>7553021</v>
      </c>
      <c r="T41" s="5">
        <f>80517582-4294875</f>
        <v>76222707</v>
      </c>
      <c r="U41" s="5">
        <f>84392188-6325483</f>
        <v>78066705</v>
      </c>
      <c r="V41" s="5">
        <f>87229546-5431974</f>
        <v>81797572</v>
      </c>
      <c r="W41" s="5">
        <f>89600590-7553021</f>
        <v>82047569</v>
      </c>
      <c r="X41" s="5"/>
      <c r="Y41" s="5"/>
      <c r="Z41" s="5"/>
      <c r="AA41" s="5"/>
      <c r="AB41" s="5">
        <v>69918262</v>
      </c>
      <c r="AC41" s="5">
        <v>63791998</v>
      </c>
      <c r="AD41" s="5">
        <v>58523451</v>
      </c>
      <c r="AE41" s="5">
        <v>75394325</v>
      </c>
      <c r="AF41" s="5">
        <f>44893271-5000934</f>
        <v>39892337</v>
      </c>
      <c r="AG41" s="5">
        <f>41160577-36000</f>
        <v>41124577</v>
      </c>
      <c r="AH41" s="5">
        <f>41141520-31200</f>
        <v>41110320</v>
      </c>
      <c r="AI41" s="5">
        <f>51686720-10994988</f>
        <v>40691732</v>
      </c>
      <c r="AJ41" s="39">
        <v>1980</v>
      </c>
      <c r="AK41" s="39">
        <f t="shared" si="0"/>
        <v>41</v>
      </c>
      <c r="AL41" s="39">
        <v>3</v>
      </c>
      <c r="AM41" s="39">
        <v>1</v>
      </c>
      <c r="AN41" s="39" t="s">
        <v>181</v>
      </c>
    </row>
    <row r="42" spans="1:40" ht="60" x14ac:dyDescent="0.25">
      <c r="A42" s="4" t="s">
        <v>183</v>
      </c>
      <c r="B42" s="17" t="s">
        <v>182</v>
      </c>
      <c r="C42" s="8" t="s">
        <v>184</v>
      </c>
      <c r="D42" s="5">
        <f>6800487-17081</f>
        <v>6783406</v>
      </c>
      <c r="E42" s="5">
        <f>7582666-85718</f>
        <v>7496948</v>
      </c>
      <c r="F42" s="5">
        <f>9719827+84477</f>
        <v>9804304</v>
      </c>
      <c r="G42" s="5">
        <f>8372499+14613</f>
        <v>8387112</v>
      </c>
      <c r="H42" s="5">
        <f>25905-17081</f>
        <v>8824</v>
      </c>
      <c r="I42" s="5">
        <v>0</v>
      </c>
      <c r="J42" s="5">
        <v>84477</v>
      </c>
      <c r="K42" s="5">
        <v>14613</v>
      </c>
      <c r="L42" s="5">
        <v>305002</v>
      </c>
      <c r="M42" s="5">
        <v>318638</v>
      </c>
      <c r="N42" s="5">
        <v>287734</v>
      </c>
      <c r="O42" s="5">
        <v>272967</v>
      </c>
      <c r="P42" s="5">
        <f>5919564+83760+69884+305002+240000</f>
        <v>6618210</v>
      </c>
      <c r="Q42" s="5">
        <f>6650615+66013+318638+240000</f>
        <v>7275266</v>
      </c>
      <c r="R42" s="41" t="s">
        <v>115</v>
      </c>
      <c r="S42" s="41" t="s">
        <v>115</v>
      </c>
      <c r="T42" s="5">
        <f>156372+25905-17081</f>
        <v>165196</v>
      </c>
      <c r="U42" s="5">
        <f>287660+19740-85718</f>
        <v>221682</v>
      </c>
      <c r="V42" s="41" t="s">
        <v>115</v>
      </c>
      <c r="W42" s="41" t="s">
        <v>115</v>
      </c>
      <c r="X42" s="5"/>
      <c r="Y42" s="5"/>
      <c r="Z42" s="5"/>
      <c r="AA42" s="5"/>
      <c r="AB42" s="5">
        <v>1769924</v>
      </c>
      <c r="AC42" s="5">
        <v>1780868</v>
      </c>
      <c r="AD42" s="5">
        <v>1947135</v>
      </c>
      <c r="AE42" s="5">
        <v>4597123</v>
      </c>
      <c r="AF42" s="5">
        <f>135074+5787</f>
        <v>140861</v>
      </c>
      <c r="AG42" s="5">
        <f>193034+2450</f>
        <v>195484</v>
      </c>
      <c r="AH42" s="5">
        <f>580+3508</f>
        <v>4088</v>
      </c>
      <c r="AI42" s="5">
        <f>9864+1472+10834</f>
        <v>22170</v>
      </c>
      <c r="AJ42" s="39">
        <v>1997</v>
      </c>
      <c r="AK42" s="39">
        <f t="shared" si="0"/>
        <v>24</v>
      </c>
      <c r="AL42" s="39">
        <v>1</v>
      </c>
      <c r="AM42" s="39">
        <v>1</v>
      </c>
      <c r="AN42" s="39" t="s">
        <v>185</v>
      </c>
    </row>
    <row r="43" spans="1:40" ht="45" x14ac:dyDescent="0.25">
      <c r="A43" s="4" t="s">
        <v>187</v>
      </c>
      <c r="B43" s="17" t="s">
        <v>186</v>
      </c>
      <c r="C43" s="8" t="s">
        <v>188</v>
      </c>
      <c r="D43" s="5">
        <f>118664000+393000</f>
        <v>119057000</v>
      </c>
      <c r="E43" s="5">
        <f>138739000+699000</f>
        <v>139438000</v>
      </c>
      <c r="F43" s="5">
        <f>154762000+1261000</f>
        <v>156023000</v>
      </c>
      <c r="G43" s="5">
        <f>159706000+929000</f>
        <v>160635000</v>
      </c>
      <c r="H43" s="5">
        <v>393000</v>
      </c>
      <c r="I43" s="5">
        <v>699000</v>
      </c>
      <c r="J43" s="5">
        <v>1261000</v>
      </c>
      <c r="K43" s="5">
        <v>929000</v>
      </c>
      <c r="L43" s="5">
        <v>2120000</v>
      </c>
      <c r="M43" s="5">
        <v>2077000</v>
      </c>
      <c r="N43" s="5">
        <v>9150000</v>
      </c>
      <c r="O43" s="5">
        <v>1152000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>
        <v>125430000</v>
      </c>
      <c r="AC43" s="5">
        <v>139088000</v>
      </c>
      <c r="AD43" s="5">
        <v>154140000</v>
      </c>
      <c r="AE43" s="5">
        <v>172942000</v>
      </c>
      <c r="AF43" s="5">
        <v>71943000</v>
      </c>
      <c r="AG43" s="5">
        <v>71596000</v>
      </c>
      <c r="AH43" s="5">
        <f>78760000-151000</f>
        <v>78609000</v>
      </c>
      <c r="AI43" s="5">
        <f>73238000-111000</f>
        <v>73127000</v>
      </c>
      <c r="AJ43" s="39">
        <v>1991</v>
      </c>
      <c r="AK43" s="39">
        <f t="shared" si="0"/>
        <v>30</v>
      </c>
      <c r="AL43" s="39">
        <v>3</v>
      </c>
      <c r="AM43" s="39">
        <v>1</v>
      </c>
      <c r="AN43" s="39" t="s">
        <v>5</v>
      </c>
    </row>
    <row r="44" spans="1:40" ht="30" x14ac:dyDescent="0.25">
      <c r="A44" s="4" t="s">
        <v>190</v>
      </c>
      <c r="B44" s="17" t="s">
        <v>189</v>
      </c>
      <c r="C44" s="8" t="s">
        <v>191</v>
      </c>
      <c r="D44" s="5">
        <f>81282000+963000</f>
        <v>82245000</v>
      </c>
      <c r="E44" s="5">
        <f>49498000+174000</f>
        <v>49672000</v>
      </c>
      <c r="F44" s="5">
        <f>63008000+1756000</f>
        <v>64764000</v>
      </c>
      <c r="G44" s="5">
        <f>64413000</f>
        <v>64413000</v>
      </c>
      <c r="H44" s="5">
        <v>963000</v>
      </c>
      <c r="I44" s="5">
        <v>174000</v>
      </c>
      <c r="J44" s="5">
        <v>992000</v>
      </c>
      <c r="K44" s="5">
        <v>0</v>
      </c>
      <c r="L44" s="41" t="s">
        <v>115</v>
      </c>
      <c r="M44" s="41" t="s">
        <v>115</v>
      </c>
      <c r="N44" s="5">
        <v>212000</v>
      </c>
      <c r="O44" s="5">
        <v>171000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>
        <v>23089000</v>
      </c>
      <c r="AC44" s="5">
        <v>27838000</v>
      </c>
      <c r="AD44" s="5">
        <v>46712000</v>
      </c>
      <c r="AE44" s="5">
        <v>44153000</v>
      </c>
      <c r="AF44" s="5">
        <v>2062000</v>
      </c>
      <c r="AG44" s="5">
        <v>2737000</v>
      </c>
      <c r="AH44" s="5">
        <v>2628000</v>
      </c>
      <c r="AI44" s="5">
        <v>1845000</v>
      </c>
      <c r="AJ44" s="39">
        <v>1996</v>
      </c>
      <c r="AK44" s="39">
        <f t="shared" si="0"/>
        <v>25</v>
      </c>
      <c r="AL44" s="39">
        <v>4</v>
      </c>
      <c r="AM44" s="39">
        <v>1</v>
      </c>
      <c r="AN44" s="39" t="s">
        <v>192</v>
      </c>
    </row>
    <row r="45" spans="1:40" s="15" customFormat="1" ht="60" x14ac:dyDescent="0.25">
      <c r="A45" s="11" t="s">
        <v>194</v>
      </c>
      <c r="B45" s="12" t="s">
        <v>193</v>
      </c>
      <c r="C45" s="16" t="s">
        <v>341</v>
      </c>
      <c r="D45" s="14">
        <f>306865.19+6213.31+14125.76</f>
        <v>327204.26</v>
      </c>
      <c r="E45" s="14">
        <f>185477.39+911.63+1089.24</f>
        <v>187478.26</v>
      </c>
      <c r="F45" s="14">
        <f>204.52+60005.19</f>
        <v>60209.71</v>
      </c>
      <c r="G45" s="14">
        <f>77082.58+0.31</f>
        <v>77082.89</v>
      </c>
      <c r="H45" s="14">
        <f>6213.31-1789.26</f>
        <v>4424.05</v>
      </c>
      <c r="I45" s="14">
        <v>0</v>
      </c>
      <c r="J45" s="14">
        <v>0</v>
      </c>
      <c r="K45" s="14">
        <v>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>
        <v>149056.70000000001</v>
      </c>
      <c r="AC45" s="14">
        <v>180709.98</v>
      </c>
      <c r="AD45" s="14">
        <f>172179.73</f>
        <v>172179.73</v>
      </c>
      <c r="AE45" s="14">
        <v>124178.1</v>
      </c>
      <c r="AF45" s="14">
        <v>78946.31</v>
      </c>
      <c r="AG45" s="14">
        <v>150489.57999999999</v>
      </c>
      <c r="AH45" s="14">
        <v>148444.82</v>
      </c>
      <c r="AI45" s="14">
        <v>35513.29</v>
      </c>
      <c r="AJ45" s="44">
        <v>1985</v>
      </c>
      <c r="AK45" s="44">
        <f t="shared" si="0"/>
        <v>36</v>
      </c>
      <c r="AL45" s="44">
        <v>3</v>
      </c>
      <c r="AM45" s="44">
        <v>2</v>
      </c>
      <c r="AN45" s="44" t="s">
        <v>195</v>
      </c>
    </row>
    <row r="46" spans="1:40" s="15" customFormat="1" ht="45" x14ac:dyDescent="0.25">
      <c r="A46" s="11" t="s">
        <v>197</v>
      </c>
      <c r="B46" s="12" t="s">
        <v>196</v>
      </c>
      <c r="C46" s="16" t="s">
        <v>198</v>
      </c>
      <c r="D46" s="14">
        <f>7309695+379981+2744902</f>
        <v>10434578</v>
      </c>
      <c r="E46" s="14">
        <f>9131200</f>
        <v>9131200</v>
      </c>
      <c r="F46" s="14">
        <f>10519166</f>
        <v>10519166</v>
      </c>
      <c r="G46" s="14">
        <v>10192469</v>
      </c>
      <c r="H46" s="14">
        <f>73745-24677</f>
        <v>49068</v>
      </c>
      <c r="I46" s="14">
        <f>54178-49697</f>
        <v>4481</v>
      </c>
      <c r="J46" s="14">
        <f>69676-33980</f>
        <v>35696</v>
      </c>
      <c r="K46" s="14">
        <v>0</v>
      </c>
      <c r="L46" s="14">
        <v>379981</v>
      </c>
      <c r="M46" s="14">
        <v>318380</v>
      </c>
      <c r="N46" s="14">
        <v>341980</v>
      </c>
      <c r="O46" s="14">
        <v>80021</v>
      </c>
      <c r="P46" s="14">
        <v>7689676</v>
      </c>
      <c r="Q46" s="14">
        <v>7039364</v>
      </c>
      <c r="R46" s="14">
        <v>7971142</v>
      </c>
      <c r="S46" s="14">
        <v>7245338</v>
      </c>
      <c r="T46" s="14">
        <f>2744902-24677</f>
        <v>2720225</v>
      </c>
      <c r="U46" s="14">
        <f>2091835--49697</f>
        <v>2141532</v>
      </c>
      <c r="V46" s="14">
        <f>2548025-33980</f>
        <v>2514045</v>
      </c>
      <c r="W46" s="14">
        <v>2947132</v>
      </c>
      <c r="X46" s="14"/>
      <c r="Y46" s="14"/>
      <c r="Z46" s="14"/>
      <c r="AA46" s="14"/>
      <c r="AB46" s="14">
        <v>12971479</v>
      </c>
      <c r="AC46" s="14">
        <v>12428688</v>
      </c>
      <c r="AD46" s="14">
        <v>17223240</v>
      </c>
      <c r="AE46" s="14">
        <v>23442436</v>
      </c>
      <c r="AF46" s="14">
        <f>4099031+22565</f>
        <v>4121596</v>
      </c>
      <c r="AG46" s="14">
        <f>3868485-21777</f>
        <v>3846708</v>
      </c>
      <c r="AH46" s="14">
        <f>5582240+12990</f>
        <v>5595230</v>
      </c>
      <c r="AI46" s="14">
        <f>5756394+12435</f>
        <v>5768829</v>
      </c>
      <c r="AJ46" s="44">
        <v>1998</v>
      </c>
      <c r="AK46" s="44">
        <f t="shared" si="0"/>
        <v>23</v>
      </c>
      <c r="AL46" s="44">
        <v>2</v>
      </c>
      <c r="AM46" s="44">
        <v>2</v>
      </c>
      <c r="AN46" s="44" t="s">
        <v>5</v>
      </c>
    </row>
    <row r="47" spans="1:40" s="15" customFormat="1" ht="45" x14ac:dyDescent="0.25">
      <c r="A47" s="11" t="s">
        <v>202</v>
      </c>
      <c r="B47" s="12" t="s">
        <v>201</v>
      </c>
      <c r="C47" s="16" t="s">
        <v>203</v>
      </c>
      <c r="D47" s="14">
        <f>18277336</f>
        <v>18277336</v>
      </c>
      <c r="E47" s="14">
        <f>17629526</f>
        <v>17629526</v>
      </c>
      <c r="F47" s="14">
        <f>26016396</f>
        <v>26016396</v>
      </c>
      <c r="G47" s="14">
        <f>46373460</f>
        <v>46373460</v>
      </c>
      <c r="H47" s="14">
        <v>0</v>
      </c>
      <c r="I47" s="14">
        <v>0</v>
      </c>
      <c r="J47" s="14">
        <v>0</v>
      </c>
      <c r="K47" s="14">
        <v>276470</v>
      </c>
      <c r="L47" s="14">
        <v>460072</v>
      </c>
      <c r="M47" s="14">
        <v>501861</v>
      </c>
      <c r="N47" s="14">
        <v>480574</v>
      </c>
      <c r="O47" s="14">
        <v>581700</v>
      </c>
      <c r="P47" s="14">
        <f>5499498</f>
        <v>5499498</v>
      </c>
      <c r="Q47" s="14">
        <v>5292921</v>
      </c>
      <c r="R47" s="14">
        <f>5278625</f>
        <v>5278625</v>
      </c>
      <c r="S47" s="14">
        <v>3531207</v>
      </c>
      <c r="T47" s="14">
        <f>12777838-172943</f>
        <v>12604895</v>
      </c>
      <c r="U47" s="14">
        <f>12336605-273664</f>
        <v>12062941</v>
      </c>
      <c r="V47" s="14">
        <f>20737771-61226</f>
        <v>20676545</v>
      </c>
      <c r="W47" s="14">
        <f>544841+42842253</f>
        <v>43387094</v>
      </c>
      <c r="X47" s="14"/>
      <c r="Y47" s="14"/>
      <c r="Z47" s="14"/>
      <c r="AA47" s="14"/>
      <c r="AB47" s="14">
        <v>9295334</v>
      </c>
      <c r="AC47" s="14">
        <v>12341290</v>
      </c>
      <c r="AD47" s="14">
        <v>18117949</v>
      </c>
      <c r="AE47" s="14">
        <v>43136492</v>
      </c>
      <c r="AF47" s="14">
        <v>3982720</v>
      </c>
      <c r="AG47" s="14">
        <v>3900203</v>
      </c>
      <c r="AH47" s="14">
        <f>3446915+376688+2910</f>
        <v>3826513</v>
      </c>
      <c r="AI47" s="14">
        <f>3635502+321210+29120</f>
        <v>3985832</v>
      </c>
      <c r="AJ47" s="44">
        <v>1946</v>
      </c>
      <c r="AK47" s="44">
        <f t="shared" si="0"/>
        <v>75</v>
      </c>
      <c r="AL47" s="44">
        <v>1</v>
      </c>
      <c r="AM47" s="44">
        <v>2</v>
      </c>
      <c r="AN47" s="44" t="s">
        <v>5</v>
      </c>
    </row>
    <row r="48" spans="1:40" ht="45" x14ac:dyDescent="0.25">
      <c r="A48" s="4" t="s">
        <v>205</v>
      </c>
      <c r="B48" s="17" t="s">
        <v>204</v>
      </c>
      <c r="C48" s="8" t="s">
        <v>206</v>
      </c>
      <c r="D48" s="5">
        <f>29225000+425000</f>
        <v>29650000</v>
      </c>
      <c r="E48" s="5">
        <f>30960000+32000+233000</f>
        <v>31225000</v>
      </c>
      <c r="F48" s="5">
        <f>30659000+85000+374000</f>
        <v>31118000</v>
      </c>
      <c r="G48" s="5">
        <f>28857000+112000+218000</f>
        <v>29187000</v>
      </c>
      <c r="H48" s="5">
        <v>425000</v>
      </c>
      <c r="I48" s="5">
        <v>233000</v>
      </c>
      <c r="J48" s="5">
        <v>374000</v>
      </c>
      <c r="K48" s="5">
        <v>218000</v>
      </c>
      <c r="L48" s="5">
        <v>2122000</v>
      </c>
      <c r="M48" s="5">
        <v>405000</v>
      </c>
      <c r="N48" s="5">
        <v>508000</v>
      </c>
      <c r="O48" s="5">
        <v>492000</v>
      </c>
      <c r="P48" s="5">
        <f>D48-5000000</f>
        <v>24650000</v>
      </c>
      <c r="Q48" s="5">
        <f>E48-3750000</f>
        <v>27475000</v>
      </c>
      <c r="R48" s="5">
        <f>F48-2500000-223000</f>
        <v>28395000</v>
      </c>
      <c r="S48" s="5">
        <f>G48-2250000</f>
        <v>26937000</v>
      </c>
      <c r="T48" s="5">
        <f>H48+5000000</f>
        <v>5425000</v>
      </c>
      <c r="U48" s="5">
        <f>I48+3750000</f>
        <v>3983000</v>
      </c>
      <c r="V48" s="5">
        <f>2500000+J48</f>
        <v>2874000</v>
      </c>
      <c r="W48" s="5">
        <f>2250000+K48</f>
        <v>2468000</v>
      </c>
      <c r="X48" s="5"/>
      <c r="Y48" s="5"/>
      <c r="Z48" s="5"/>
      <c r="AA48" s="5"/>
      <c r="AB48" s="5">
        <f>104025000</f>
        <v>104025000</v>
      </c>
      <c r="AC48" s="5">
        <v>106680000</v>
      </c>
      <c r="AD48" s="5">
        <v>101239000</v>
      </c>
      <c r="AE48" s="5">
        <v>98944000</v>
      </c>
      <c r="AF48" s="5">
        <v>6075000</v>
      </c>
      <c r="AG48" s="5">
        <v>7631000</v>
      </c>
      <c r="AH48" s="5">
        <v>7670000</v>
      </c>
      <c r="AI48" s="5">
        <v>7404000</v>
      </c>
      <c r="AJ48" s="39">
        <v>2008</v>
      </c>
      <c r="AK48" s="39">
        <f t="shared" si="0"/>
        <v>13</v>
      </c>
      <c r="AL48" s="39">
        <v>4</v>
      </c>
      <c r="AM48" s="39">
        <v>2</v>
      </c>
      <c r="AN48" s="39" t="s">
        <v>147</v>
      </c>
    </row>
    <row r="49" spans="1:40" ht="45" x14ac:dyDescent="0.25">
      <c r="A49" s="4" t="s">
        <v>208</v>
      </c>
      <c r="B49" s="17" t="s">
        <v>207</v>
      </c>
      <c r="C49" s="8" t="s">
        <v>209</v>
      </c>
      <c r="D49" s="5">
        <f>30397021</f>
        <v>30397021</v>
      </c>
      <c r="E49" s="5">
        <f>31881810</f>
        <v>31881810</v>
      </c>
      <c r="F49" s="5">
        <f>29045622</f>
        <v>29045622</v>
      </c>
      <c r="G49" s="5">
        <f>30813824</f>
        <v>30813824</v>
      </c>
      <c r="H49" s="5">
        <f>2288006-451698</f>
        <v>1836308</v>
      </c>
      <c r="I49" s="5">
        <f>1427552-468025</f>
        <v>959527</v>
      </c>
      <c r="J49" s="5">
        <f>1484383-501833</f>
        <v>982550</v>
      </c>
      <c r="K49" s="5">
        <f>677743-574260</f>
        <v>103483</v>
      </c>
      <c r="L49" s="5">
        <v>658743</v>
      </c>
      <c r="M49" s="5">
        <v>449270</v>
      </c>
      <c r="N49" s="5">
        <v>684038</v>
      </c>
      <c r="O49" s="5">
        <v>668591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>
        <v>43475338</v>
      </c>
      <c r="AC49" s="5">
        <v>46586058</v>
      </c>
      <c r="AD49" s="5">
        <v>49134176</v>
      </c>
      <c r="AE49" s="5">
        <v>57195177</v>
      </c>
      <c r="AF49" s="5">
        <f>304555+51002</f>
        <v>355557</v>
      </c>
      <c r="AG49" s="5">
        <f>232380+48948</f>
        <v>281328</v>
      </c>
      <c r="AH49" s="5">
        <v>199281</v>
      </c>
      <c r="AI49" s="5">
        <v>207785</v>
      </c>
      <c r="AJ49" s="39">
        <v>1990</v>
      </c>
      <c r="AK49" s="39">
        <f t="shared" si="0"/>
        <v>31</v>
      </c>
      <c r="AL49" s="39">
        <v>1</v>
      </c>
      <c r="AM49" s="39">
        <v>2</v>
      </c>
      <c r="AN49" s="39" t="s">
        <v>5</v>
      </c>
    </row>
    <row r="50" spans="1:40" ht="45" x14ac:dyDescent="0.25">
      <c r="A50" s="4" t="s">
        <v>217</v>
      </c>
      <c r="B50" s="17" t="s">
        <v>216</v>
      </c>
      <c r="C50" s="8" t="s">
        <v>209</v>
      </c>
      <c r="D50" s="5">
        <f>23631000+706000+84000+11000+111000+64000</f>
        <v>24607000</v>
      </c>
      <c r="E50" s="5">
        <f>23716000+723000+82000+34000+183000</f>
        <v>24738000</v>
      </c>
      <c r="F50" s="5">
        <f>26542000+824000+377000+67000+129000+1270000+14000</f>
        <v>29223000</v>
      </c>
      <c r="G50" s="5">
        <f>32750000+850000+677000+28000+114000</f>
        <v>34419000</v>
      </c>
      <c r="H50" s="5">
        <f>0</f>
        <v>0</v>
      </c>
      <c r="I50" s="5">
        <v>0</v>
      </c>
      <c r="J50" s="5">
        <v>0</v>
      </c>
      <c r="K50" s="5">
        <v>0</v>
      </c>
      <c r="L50" s="5">
        <v>36000</v>
      </c>
      <c r="M50" s="5">
        <v>50000</v>
      </c>
      <c r="N50" s="5">
        <v>39000</v>
      </c>
      <c r="O50" s="5">
        <v>18000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>
        <v>5664000</v>
      </c>
      <c r="AC50" s="5">
        <v>6284000</v>
      </c>
      <c r="AD50" s="5">
        <v>5765000</v>
      </c>
      <c r="AE50" s="5">
        <v>6241000</v>
      </c>
      <c r="AF50" s="5">
        <v>4313000</v>
      </c>
      <c r="AG50" s="5">
        <v>4095000</v>
      </c>
      <c r="AH50" s="5">
        <v>3957000</v>
      </c>
      <c r="AI50" s="5">
        <v>4649000</v>
      </c>
      <c r="AJ50" s="39">
        <v>1966</v>
      </c>
      <c r="AK50" s="39">
        <f t="shared" ref="AK50:AK73" si="1">2021-AJ50</f>
        <v>55</v>
      </c>
      <c r="AL50" s="39">
        <v>1</v>
      </c>
      <c r="AM50" s="39">
        <v>1</v>
      </c>
      <c r="AN50" s="39" t="s">
        <v>17</v>
      </c>
    </row>
    <row r="51" spans="1:40" ht="45" x14ac:dyDescent="0.25">
      <c r="A51" s="4" t="s">
        <v>222</v>
      </c>
      <c r="B51" s="17" t="s">
        <v>221</v>
      </c>
      <c r="C51" s="8" t="s">
        <v>342</v>
      </c>
      <c r="D51" s="5">
        <f>5498620+328566+45458</f>
        <v>5872644</v>
      </c>
      <c r="E51" s="5">
        <f>5743779+87553</f>
        <v>5831332</v>
      </c>
      <c r="F51" s="5">
        <f>6719473+126290+11962</f>
        <v>6857725</v>
      </c>
      <c r="G51" s="5">
        <f>7154913+107652+15427</f>
        <v>7277992</v>
      </c>
      <c r="H51" s="5">
        <v>45458</v>
      </c>
      <c r="I51" s="5">
        <v>0</v>
      </c>
      <c r="J51" s="5">
        <v>11962</v>
      </c>
      <c r="K51" s="5">
        <v>15427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>
        <f>8542680</f>
        <v>8542680</v>
      </c>
      <c r="AC51" s="5">
        <v>8096927</v>
      </c>
      <c r="AD51" s="5">
        <v>8963517</v>
      </c>
      <c r="AE51" s="5">
        <v>9317459</v>
      </c>
      <c r="AF51" s="5">
        <v>7597199</v>
      </c>
      <c r="AG51" s="5">
        <v>7235350</v>
      </c>
      <c r="AH51" s="5">
        <v>7245942</v>
      </c>
      <c r="AI51" s="5">
        <v>7391653</v>
      </c>
      <c r="AJ51" s="39">
        <v>1989</v>
      </c>
      <c r="AK51" s="39">
        <f t="shared" si="1"/>
        <v>32</v>
      </c>
      <c r="AL51" s="39">
        <v>3</v>
      </c>
      <c r="AM51" s="39">
        <v>1</v>
      </c>
      <c r="AN51" s="39" t="s">
        <v>223</v>
      </c>
    </row>
    <row r="52" spans="1:40" s="15" customFormat="1" ht="60" x14ac:dyDescent="0.25">
      <c r="A52" s="11" t="s">
        <v>225</v>
      </c>
      <c r="B52" s="12" t="s">
        <v>224</v>
      </c>
      <c r="C52" s="16" t="s">
        <v>228</v>
      </c>
      <c r="D52" s="14">
        <f>15317000+337000</f>
        <v>15654000</v>
      </c>
      <c r="E52" s="14">
        <f>8808000+284000</f>
        <v>9092000</v>
      </c>
      <c r="F52" s="14">
        <f>10463000+263000</f>
        <v>10726000</v>
      </c>
      <c r="G52" s="14">
        <f>7482000+134000</f>
        <v>7616000</v>
      </c>
      <c r="H52" s="14">
        <v>337000</v>
      </c>
      <c r="I52" s="14">
        <v>284000</v>
      </c>
      <c r="J52" s="14">
        <v>263000</v>
      </c>
      <c r="K52" s="14">
        <v>72000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>
        <v>7508000</v>
      </c>
      <c r="AC52" s="14">
        <v>7055000</v>
      </c>
      <c r="AD52" s="14">
        <v>5099000</v>
      </c>
      <c r="AE52" s="14">
        <v>3046000</v>
      </c>
      <c r="AF52" s="14">
        <v>150000</v>
      </c>
      <c r="AG52" s="14">
        <v>139000</v>
      </c>
      <c r="AH52" s="14">
        <v>125000</v>
      </c>
      <c r="AI52" s="14">
        <v>56000</v>
      </c>
      <c r="AJ52" s="44">
        <v>2008</v>
      </c>
      <c r="AK52" s="44">
        <f t="shared" si="1"/>
        <v>13</v>
      </c>
      <c r="AL52" s="44">
        <v>5</v>
      </c>
      <c r="AM52" s="44">
        <v>1</v>
      </c>
      <c r="AN52" s="44" t="s">
        <v>5</v>
      </c>
    </row>
    <row r="53" spans="1:40" s="15" customFormat="1" ht="45" x14ac:dyDescent="0.25">
      <c r="A53" s="11" t="s">
        <v>227</v>
      </c>
      <c r="B53" s="12" t="s">
        <v>226</v>
      </c>
      <c r="C53" s="16" t="s">
        <v>229</v>
      </c>
      <c r="D53" s="14">
        <f>22062057</f>
        <v>22062057</v>
      </c>
      <c r="E53" s="14">
        <f>23966053</f>
        <v>23966053</v>
      </c>
      <c r="F53" s="14">
        <f>25051779</f>
        <v>25051779</v>
      </c>
      <c r="G53" s="14">
        <f>23940633</f>
        <v>23940633</v>
      </c>
      <c r="H53" s="14">
        <v>0</v>
      </c>
      <c r="I53" s="14">
        <v>0</v>
      </c>
      <c r="J53" s="14">
        <v>0</v>
      </c>
      <c r="K53" s="14">
        <v>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>
        <v>5547681</v>
      </c>
      <c r="AC53" s="14">
        <v>8240220</v>
      </c>
      <c r="AD53" s="14">
        <v>5572782</v>
      </c>
      <c r="AE53" s="14">
        <v>6539467</v>
      </c>
      <c r="AF53" s="14">
        <v>2690277</v>
      </c>
      <c r="AG53" s="14">
        <v>2738598</v>
      </c>
      <c r="AH53" s="14">
        <v>2607428</v>
      </c>
      <c r="AI53" s="14">
        <v>30255</v>
      </c>
      <c r="AJ53" s="39">
        <v>1987</v>
      </c>
      <c r="AK53" s="39">
        <f t="shared" si="1"/>
        <v>34</v>
      </c>
      <c r="AL53" s="39">
        <v>1</v>
      </c>
      <c r="AM53" s="39">
        <v>1</v>
      </c>
      <c r="AN53" s="39" t="s">
        <v>5</v>
      </c>
    </row>
    <row r="54" spans="1:40" s="15" customFormat="1" ht="45" x14ac:dyDescent="0.25">
      <c r="A54" s="11" t="s">
        <v>233</v>
      </c>
      <c r="B54" s="12" t="s">
        <v>232</v>
      </c>
      <c r="C54" s="16" t="s">
        <v>234</v>
      </c>
      <c r="D54" s="14">
        <v>8957357.7899999991</v>
      </c>
      <c r="E54" s="14">
        <v>8380595.3200000003</v>
      </c>
      <c r="F54" s="14">
        <f>9234650.82-47895.71</f>
        <v>9186755.1099999994</v>
      </c>
      <c r="G54" s="14">
        <f>10746594.01-13970.64</f>
        <v>10732623.369999999</v>
      </c>
      <c r="H54" s="14">
        <v>0</v>
      </c>
      <c r="I54" s="14">
        <f>58603.18+40530.6</f>
        <v>99133.78</v>
      </c>
      <c r="J54" s="14">
        <f>0</f>
        <v>0</v>
      </c>
      <c r="K54" s="14">
        <f>20273.99-13970.64</f>
        <v>6303.3500000000022</v>
      </c>
      <c r="L54" s="14">
        <v>691580</v>
      </c>
      <c r="M54" s="14">
        <v>136290</v>
      </c>
      <c r="N54" s="14">
        <v>422415</v>
      </c>
      <c r="O54" s="14">
        <v>46955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>
        <v>6341772.8399999999</v>
      </c>
      <c r="AC54" s="14">
        <v>5539437.21</v>
      </c>
      <c r="AD54" s="14">
        <v>14791401.27</v>
      </c>
      <c r="AE54" s="14">
        <v>13494962.52</v>
      </c>
      <c r="AF54" s="14">
        <v>4428141.42</v>
      </c>
      <c r="AG54" s="14">
        <v>4299575.01</v>
      </c>
      <c r="AH54" s="14">
        <v>4055152.47</v>
      </c>
      <c r="AI54" s="14">
        <v>3808739.89</v>
      </c>
      <c r="AJ54" s="44">
        <v>1994</v>
      </c>
      <c r="AK54" s="44">
        <f t="shared" si="1"/>
        <v>27</v>
      </c>
      <c r="AL54" s="44">
        <v>1</v>
      </c>
      <c r="AM54" s="44">
        <v>1</v>
      </c>
      <c r="AN54" s="44" t="s">
        <v>5</v>
      </c>
    </row>
    <row r="55" spans="1:40" ht="45" x14ac:dyDescent="0.25">
      <c r="A55" s="4" t="s">
        <v>237</v>
      </c>
      <c r="B55" s="17" t="s">
        <v>236</v>
      </c>
      <c r="C55" s="8" t="s">
        <v>238</v>
      </c>
      <c r="D55" s="5">
        <f>4500636+105345</f>
        <v>4605981</v>
      </c>
      <c r="E55" s="5">
        <f>5210397+196242</f>
        <v>5406639</v>
      </c>
      <c r="F55" s="5">
        <f>6115569+9309+4406</f>
        <v>6129284</v>
      </c>
      <c r="G55" s="5">
        <f>5670772+35242+65000</f>
        <v>5771014</v>
      </c>
      <c r="H55" s="5">
        <v>0</v>
      </c>
      <c r="I55" s="5">
        <v>0</v>
      </c>
      <c r="J55" s="5">
        <v>0</v>
      </c>
      <c r="K55" s="5">
        <v>0</v>
      </c>
      <c r="L55" s="5"/>
      <c r="M55" s="5"/>
      <c r="N55" s="5"/>
      <c r="O55" s="5"/>
      <c r="P55" s="5">
        <f>131698</f>
        <v>131698</v>
      </c>
      <c r="Q55" s="5">
        <v>408948</v>
      </c>
      <c r="R55" s="5">
        <v>246962</v>
      </c>
      <c r="S55" s="5">
        <v>221326</v>
      </c>
      <c r="T55" s="5">
        <f>4368938+105345</f>
        <v>4474283</v>
      </c>
      <c r="U55" s="5">
        <f>4801448+196242</f>
        <v>4997690</v>
      </c>
      <c r="V55" s="5">
        <f>5868607+9309+4406</f>
        <v>5882322</v>
      </c>
      <c r="W55" s="5">
        <f>5449445+35242+65000</f>
        <v>5549687</v>
      </c>
      <c r="X55" s="5"/>
      <c r="Y55" s="5"/>
      <c r="Z55" s="5"/>
      <c r="AA55" s="5"/>
      <c r="AB55" s="5">
        <v>5220855</v>
      </c>
      <c r="AC55" s="5">
        <v>5515419</v>
      </c>
      <c r="AD55" s="5">
        <v>6566937</v>
      </c>
      <c r="AE55" s="5">
        <v>8501527</v>
      </c>
      <c r="AF55" s="5">
        <f>4323779+22649+1125</f>
        <v>4347553</v>
      </c>
      <c r="AG55" s="5">
        <f>3975871+22313+1125</f>
        <v>3999309</v>
      </c>
      <c r="AH55" s="5">
        <f>4490402+31888+2849</f>
        <v>4525139</v>
      </c>
      <c r="AI55" s="5">
        <f>4476057+22287+2849</f>
        <v>4501193</v>
      </c>
      <c r="AJ55" s="39">
        <v>1995</v>
      </c>
      <c r="AK55" s="39">
        <f t="shared" si="1"/>
        <v>26</v>
      </c>
      <c r="AL55" s="39">
        <v>3</v>
      </c>
      <c r="AM55" s="39">
        <v>1</v>
      </c>
      <c r="AN55" s="39" t="s">
        <v>239</v>
      </c>
    </row>
    <row r="56" spans="1:40" ht="60" x14ac:dyDescent="0.25">
      <c r="A56" s="4" t="s">
        <v>244</v>
      </c>
      <c r="B56" s="17" t="s">
        <v>243</v>
      </c>
      <c r="C56" s="8" t="s">
        <v>246</v>
      </c>
      <c r="D56" s="5">
        <f>6872147.5+195123.98+711758.77</f>
        <v>7779030.25</v>
      </c>
      <c r="E56" s="5">
        <f>7252806.66+72778.71+27107.42</f>
        <v>7352692.79</v>
      </c>
      <c r="F56" s="5">
        <f>8092102.62+87210.64</f>
        <v>8179313.2599999998</v>
      </c>
      <c r="G56" s="5">
        <f>40593.94+10016185.57</f>
        <v>10056779.51</v>
      </c>
      <c r="H56" s="5">
        <v>195123.98</v>
      </c>
      <c r="I56" s="5">
        <v>72778.710000000006</v>
      </c>
      <c r="J56" s="5">
        <v>87210.64</v>
      </c>
      <c r="K56" s="5">
        <v>40593.94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>
        <v>8494070.8900000006</v>
      </c>
      <c r="AC56" s="5">
        <v>8669950.9199999999</v>
      </c>
      <c r="AD56" s="5">
        <v>9641486.6699999999</v>
      </c>
      <c r="AE56" s="5">
        <v>15441235.380000001</v>
      </c>
      <c r="AF56" s="5">
        <v>4663725.99</v>
      </c>
      <c r="AG56" s="5">
        <v>4851828.62</v>
      </c>
      <c r="AH56" s="5">
        <v>4597107.42</v>
      </c>
      <c r="AI56" s="5">
        <v>7288334.29</v>
      </c>
      <c r="AJ56" s="39">
        <v>1949</v>
      </c>
      <c r="AK56" s="39">
        <f t="shared" si="1"/>
        <v>72</v>
      </c>
      <c r="AL56" s="39">
        <v>1</v>
      </c>
      <c r="AM56" s="39">
        <v>1</v>
      </c>
      <c r="AN56" s="39" t="s">
        <v>245</v>
      </c>
    </row>
    <row r="57" spans="1:40" ht="30" x14ac:dyDescent="0.25">
      <c r="A57" s="4" t="s">
        <v>248</v>
      </c>
      <c r="B57" s="17" t="s">
        <v>247</v>
      </c>
      <c r="C57" s="8" t="s">
        <v>249</v>
      </c>
      <c r="D57" s="5">
        <f>1037171+750595+641230+7882+20662</f>
        <v>2457540</v>
      </c>
      <c r="E57" s="5">
        <f>2441803+745071+1368977+33869+44306</f>
        <v>4634026</v>
      </c>
      <c r="F57" s="5">
        <f>2310770+2271602+1296627+3026+147779</f>
        <v>6029804</v>
      </c>
      <c r="G57" s="5">
        <f>1666983+2592705+1113597+1716+50689</f>
        <v>5425690</v>
      </c>
      <c r="H57" s="5">
        <v>20662</v>
      </c>
      <c r="I57" s="5">
        <v>44306</v>
      </c>
      <c r="J57" s="5">
        <v>147779</v>
      </c>
      <c r="K57" s="5">
        <v>50689</v>
      </c>
      <c r="L57" s="5">
        <v>405862</v>
      </c>
      <c r="M57" s="5">
        <v>875010</v>
      </c>
      <c r="N57" s="5">
        <v>364570</v>
      </c>
      <c r="O57" s="5">
        <v>504617</v>
      </c>
      <c r="P57" s="5">
        <v>1037171</v>
      </c>
      <c r="Q57" s="5">
        <v>2441803</v>
      </c>
      <c r="R57" s="5">
        <v>2310770</v>
      </c>
      <c r="S57" s="5">
        <v>1666983</v>
      </c>
      <c r="T57" s="5">
        <f>750595+641230+7882+20662</f>
        <v>1420369</v>
      </c>
      <c r="U57" s="5">
        <f>745071+1368977+33869+44306</f>
        <v>2192223</v>
      </c>
      <c r="V57" s="5">
        <f>2271602+1296627+3026+147779</f>
        <v>3719034</v>
      </c>
      <c r="W57" s="5">
        <f>2592705+1113597+1716+50689</f>
        <v>3758707</v>
      </c>
      <c r="X57" s="5"/>
      <c r="Y57" s="5"/>
      <c r="Z57" s="5"/>
      <c r="AA57" s="5"/>
      <c r="AB57" s="5">
        <v>2915463</v>
      </c>
      <c r="AC57" s="5">
        <v>4202238</v>
      </c>
      <c r="AD57" s="5">
        <v>6245789</v>
      </c>
      <c r="AE57" s="5">
        <v>9145461</v>
      </c>
      <c r="AF57" s="5">
        <v>15129</v>
      </c>
      <c r="AG57" s="5">
        <v>32386</v>
      </c>
      <c r="AH57" s="5">
        <v>19244</v>
      </c>
      <c r="AI57" s="5">
        <v>30656</v>
      </c>
      <c r="AJ57" s="39">
        <v>2001</v>
      </c>
      <c r="AK57" s="39">
        <f t="shared" si="1"/>
        <v>20</v>
      </c>
      <c r="AL57" s="39">
        <v>2</v>
      </c>
      <c r="AM57" s="39">
        <v>1</v>
      </c>
      <c r="AN57" s="39" t="s">
        <v>5</v>
      </c>
    </row>
    <row r="58" spans="1:40" ht="45" x14ac:dyDescent="0.25">
      <c r="A58" s="4" t="s">
        <v>251</v>
      </c>
      <c r="B58" s="17" t="s">
        <v>250</v>
      </c>
      <c r="C58" s="8" t="s">
        <v>252</v>
      </c>
      <c r="D58" s="5">
        <f>6633793</f>
        <v>6633793</v>
      </c>
      <c r="E58" s="5">
        <f>2899630</f>
        <v>2899630</v>
      </c>
      <c r="F58" s="5">
        <f>2348390.87</f>
        <v>2348390.87</v>
      </c>
      <c r="G58" s="5">
        <f>4904944.52</f>
        <v>4904944.5199999996</v>
      </c>
      <c r="H58" s="5">
        <v>0</v>
      </c>
      <c r="I58" s="5">
        <v>0</v>
      </c>
      <c r="J58" s="5">
        <v>0</v>
      </c>
      <c r="K58" s="5">
        <v>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v>5985908</v>
      </c>
      <c r="AC58" s="5">
        <v>4700260</v>
      </c>
      <c r="AD58" s="5">
        <v>5772559.3700000001</v>
      </c>
      <c r="AE58" s="5">
        <v>8359087.5599999996</v>
      </c>
      <c r="AF58" s="5">
        <v>3253908</v>
      </c>
      <c r="AG58" s="5">
        <v>3992968</v>
      </c>
      <c r="AH58" s="5">
        <f>721643.3+3932023.89-1011472.84+291.7</f>
        <v>3642486.0500000007</v>
      </c>
      <c r="AI58" s="5">
        <f>761103.95+1932946.33-1243626.21+6274.25</f>
        <v>1456698.3200000003</v>
      </c>
      <c r="AJ58" s="39">
        <v>1988</v>
      </c>
      <c r="AK58" s="39">
        <f t="shared" si="1"/>
        <v>33</v>
      </c>
      <c r="AL58" s="39">
        <v>4</v>
      </c>
      <c r="AM58" s="39">
        <v>1</v>
      </c>
      <c r="AN58" s="39" t="s">
        <v>253</v>
      </c>
    </row>
    <row r="59" spans="1:40" ht="45" x14ac:dyDescent="0.25">
      <c r="A59" s="4" t="s">
        <v>255</v>
      </c>
      <c r="B59" s="17" t="s">
        <v>254</v>
      </c>
      <c r="C59" s="8" t="s">
        <v>256</v>
      </c>
      <c r="D59" s="5">
        <f>14063573.91+92903.24</f>
        <v>14156477.15</v>
      </c>
      <c r="E59" s="5">
        <f>13496617.38+3965355.29+114774.25</f>
        <v>17576746.920000002</v>
      </c>
      <c r="F59" s="5">
        <f>14542452.09+906755.73</f>
        <v>15449207.82</v>
      </c>
      <c r="G59" s="5">
        <f>11372840.54+632675.55</f>
        <v>12005516.09</v>
      </c>
      <c r="H59" s="5">
        <v>92903.24</v>
      </c>
      <c r="I59" s="5">
        <v>114774.25</v>
      </c>
      <c r="J59" s="5">
        <v>906755.73</v>
      </c>
      <c r="K59" s="5">
        <v>632675.55000000005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>
        <v>18411571.010000002</v>
      </c>
      <c r="AC59" s="5">
        <v>22593773.629999999</v>
      </c>
      <c r="AD59" s="5">
        <v>23323582.41</v>
      </c>
      <c r="AE59" s="5">
        <v>32594391.41</v>
      </c>
      <c r="AF59" s="5">
        <f>15446041.13+3776.06</f>
        <v>15449817.190000001</v>
      </c>
      <c r="AG59" s="5">
        <f>11750000.4+4088617.37+2399.41</f>
        <v>15841017.18</v>
      </c>
      <c r="AH59" s="5">
        <f>15724719.38+3804012.6+1800</f>
        <v>19530531.98</v>
      </c>
      <c r="AI59" s="5">
        <f>24906878.97+3535077.18+0</f>
        <v>28441956.149999999</v>
      </c>
      <c r="AJ59" s="39">
        <v>1942</v>
      </c>
      <c r="AK59" s="39">
        <f t="shared" si="1"/>
        <v>79</v>
      </c>
      <c r="AL59" s="39">
        <v>1</v>
      </c>
      <c r="AM59" s="39">
        <v>1</v>
      </c>
      <c r="AN59" s="39" t="s">
        <v>5</v>
      </c>
    </row>
    <row r="60" spans="1:40" ht="45" x14ac:dyDescent="0.25">
      <c r="A60" s="4" t="s">
        <v>258</v>
      </c>
      <c r="B60" s="17" t="s">
        <v>257</v>
      </c>
      <c r="C60" s="8" t="s">
        <v>259</v>
      </c>
      <c r="D60" s="5">
        <v>11942958</v>
      </c>
      <c r="E60" s="5">
        <v>14266344</v>
      </c>
      <c r="F60" s="5">
        <v>16427062</v>
      </c>
      <c r="G60" s="5">
        <v>11685911</v>
      </c>
      <c r="H60" s="5">
        <v>698469</v>
      </c>
      <c r="I60" s="5">
        <v>521514</v>
      </c>
      <c r="J60" s="5">
        <v>465918</v>
      </c>
      <c r="K60" s="5">
        <v>332638</v>
      </c>
      <c r="L60" s="5">
        <v>37176</v>
      </c>
      <c r="M60" s="5">
        <v>633205</v>
      </c>
      <c r="N60" s="5">
        <v>533253</v>
      </c>
      <c r="O60" s="5">
        <v>115206</v>
      </c>
      <c r="P60" s="5">
        <v>6632229</v>
      </c>
      <c r="Q60" s="5">
        <v>7310497</v>
      </c>
      <c r="R60" s="5">
        <v>8611225</v>
      </c>
      <c r="S60" s="5">
        <v>3511117</v>
      </c>
      <c r="T60" s="5">
        <f>11942958-6632229</f>
        <v>5310729</v>
      </c>
      <c r="U60" s="5">
        <f>14266344-7310497</f>
        <v>6955847</v>
      </c>
      <c r="V60" s="5">
        <f>16427062-8611225</f>
        <v>7815837</v>
      </c>
      <c r="W60" s="5">
        <v>8174794</v>
      </c>
      <c r="X60" s="5"/>
      <c r="Y60" s="5"/>
      <c r="Z60" s="5"/>
      <c r="AA60" s="5"/>
      <c r="AB60" s="5">
        <v>27969087</v>
      </c>
      <c r="AC60" s="5">
        <v>30387820</v>
      </c>
      <c r="AD60" s="5">
        <v>30492956</v>
      </c>
      <c r="AE60" s="5">
        <v>33246002</v>
      </c>
      <c r="AF60" s="5">
        <f>27969087-18000356</f>
        <v>9968731</v>
      </c>
      <c r="AG60" s="5">
        <v>10211098</v>
      </c>
      <c r="AH60" s="5">
        <v>11927242</v>
      </c>
      <c r="AI60" s="5">
        <v>11374757</v>
      </c>
      <c r="AJ60" s="39">
        <v>1998</v>
      </c>
      <c r="AK60" s="39">
        <f t="shared" si="1"/>
        <v>23</v>
      </c>
      <c r="AL60" s="39">
        <v>3</v>
      </c>
      <c r="AM60" s="39">
        <v>1</v>
      </c>
      <c r="AN60" s="39" t="s">
        <v>5</v>
      </c>
    </row>
    <row r="61" spans="1:40" ht="45" x14ac:dyDescent="0.25">
      <c r="A61" s="4" t="s">
        <v>261</v>
      </c>
      <c r="B61" s="17" t="s">
        <v>260</v>
      </c>
      <c r="C61" s="8" t="s">
        <v>262</v>
      </c>
      <c r="D61" s="5">
        <f>10046091+27891+303242</f>
        <v>10377224</v>
      </c>
      <c r="E61" s="5">
        <f>10055370+10115+221252</f>
        <v>10286737</v>
      </c>
      <c r="F61" s="5">
        <f>9852209+293518+202675</f>
        <v>10348402</v>
      </c>
      <c r="G61" s="5">
        <f>8949978+52321+89636</f>
        <v>9091935</v>
      </c>
      <c r="H61" s="5">
        <f>303242-52198</f>
        <v>251044</v>
      </c>
      <c r="I61" s="5">
        <f>221252-33936</f>
        <v>187316</v>
      </c>
      <c r="J61" s="5">
        <f>202675-34675</f>
        <v>168000</v>
      </c>
      <c r="K61" s="5">
        <f>89636-34561</f>
        <v>55075</v>
      </c>
      <c r="L61" s="5">
        <v>510860</v>
      </c>
      <c r="M61" s="5">
        <v>527197</v>
      </c>
      <c r="N61" s="5">
        <v>569440</v>
      </c>
      <c r="O61" s="5">
        <v>604776</v>
      </c>
      <c r="P61" s="5">
        <v>2182052</v>
      </c>
      <c r="Q61" s="5">
        <v>1932655</v>
      </c>
      <c r="R61" s="5">
        <v>983000</v>
      </c>
      <c r="S61" s="5">
        <v>1247489</v>
      </c>
      <c r="T61" s="5">
        <f>7864039+27891+303242</f>
        <v>8195172</v>
      </c>
      <c r="U61" s="5">
        <f>8122715+10115+221252</f>
        <v>8354082</v>
      </c>
      <c r="V61" s="5">
        <f>8869209+293518+202675</f>
        <v>9365402</v>
      </c>
      <c r="W61" s="5">
        <f>7702489+52321+89636</f>
        <v>7844446</v>
      </c>
      <c r="X61" s="5"/>
      <c r="Y61" s="5"/>
      <c r="Z61" s="5"/>
      <c r="AA61" s="5"/>
      <c r="AB61" s="5">
        <v>20828285</v>
      </c>
      <c r="AC61" s="5">
        <v>17975368</v>
      </c>
      <c r="AD61" s="5">
        <v>17628349</v>
      </c>
      <c r="AE61" s="5">
        <v>13838990</v>
      </c>
      <c r="AF61" s="5">
        <v>11600530</v>
      </c>
      <c r="AG61" s="5">
        <v>11384435</v>
      </c>
      <c r="AH61" s="5">
        <v>11233116</v>
      </c>
      <c r="AI61" s="5">
        <v>7684933</v>
      </c>
      <c r="AJ61" s="39">
        <v>1964</v>
      </c>
      <c r="AK61" s="39">
        <f t="shared" si="1"/>
        <v>57</v>
      </c>
      <c r="AL61" s="39">
        <v>3</v>
      </c>
      <c r="AM61" s="39">
        <v>1</v>
      </c>
      <c r="AN61" s="39" t="s">
        <v>17</v>
      </c>
    </row>
    <row r="62" spans="1:40" ht="45" x14ac:dyDescent="0.25">
      <c r="A62" s="4" t="s">
        <v>264</v>
      </c>
      <c r="B62" s="17" t="s">
        <v>263</v>
      </c>
      <c r="C62" s="8" t="s">
        <v>265</v>
      </c>
      <c r="D62" s="5">
        <v>6695786</v>
      </c>
      <c r="E62" s="5">
        <v>6108141</v>
      </c>
      <c r="F62" s="5">
        <v>6388905</v>
      </c>
      <c r="G62" s="5">
        <v>11444676</v>
      </c>
      <c r="H62" s="5">
        <v>81990</v>
      </c>
      <c r="I62" s="5">
        <v>28230</v>
      </c>
      <c r="J62" s="5">
        <v>65361</v>
      </c>
      <c r="K62" s="5">
        <v>24905</v>
      </c>
      <c r="L62" s="5"/>
      <c r="M62" s="5"/>
      <c r="N62" s="5"/>
      <c r="O62" s="5"/>
      <c r="P62" s="41" t="s">
        <v>115</v>
      </c>
      <c r="Q62" s="41" t="s">
        <v>115</v>
      </c>
      <c r="R62" s="5">
        <v>3860440</v>
      </c>
      <c r="S62" s="5">
        <v>7262150</v>
      </c>
      <c r="T62" s="41" t="s">
        <v>115</v>
      </c>
      <c r="U62" s="41" t="s">
        <v>115</v>
      </c>
      <c r="V62" s="5">
        <v>2528465</v>
      </c>
      <c r="W62" s="5">
        <v>4182526</v>
      </c>
      <c r="X62" s="5"/>
      <c r="Y62" s="5"/>
      <c r="Z62" s="5"/>
      <c r="AA62" s="5"/>
      <c r="AB62" s="5">
        <v>4078634</v>
      </c>
      <c r="AC62" s="5">
        <v>4142525</v>
      </c>
      <c r="AD62" s="5">
        <v>5627256</v>
      </c>
      <c r="AE62" s="5">
        <v>12684419</v>
      </c>
      <c r="AF62" s="5">
        <v>472855</v>
      </c>
      <c r="AG62" s="5">
        <v>395374</v>
      </c>
      <c r="AH62" s="5">
        <v>327983</v>
      </c>
      <c r="AI62" s="5">
        <v>832882</v>
      </c>
      <c r="AJ62" s="39">
        <v>2000</v>
      </c>
      <c r="AK62" s="39">
        <f t="shared" si="1"/>
        <v>21</v>
      </c>
      <c r="AL62" s="39">
        <v>2</v>
      </c>
      <c r="AM62" s="39">
        <v>1</v>
      </c>
      <c r="AN62" s="39" t="s">
        <v>35</v>
      </c>
    </row>
    <row r="63" spans="1:40" s="15" customFormat="1" ht="75" x14ac:dyDescent="0.25">
      <c r="A63" s="11" t="s">
        <v>270</v>
      </c>
      <c r="B63" s="12" t="s">
        <v>269</v>
      </c>
      <c r="C63" s="20" t="s">
        <v>271</v>
      </c>
      <c r="D63" s="14">
        <f>1367145+33008</f>
        <v>1400153</v>
      </c>
      <c r="E63" s="14">
        <f>1347909+4811</f>
        <v>1352720</v>
      </c>
      <c r="F63" s="14">
        <f>1490854+5463</f>
        <v>1496317</v>
      </c>
      <c r="G63" s="14">
        <f>2144018+11759</f>
        <v>2155777</v>
      </c>
      <c r="H63" s="14">
        <v>23993</v>
      </c>
      <c r="I63" s="14">
        <v>0</v>
      </c>
      <c r="J63" s="14">
        <v>0</v>
      </c>
      <c r="K63" s="14">
        <v>0</v>
      </c>
      <c r="L63" s="14">
        <v>130536</v>
      </c>
      <c r="M63" s="14">
        <v>153373</v>
      </c>
      <c r="N63" s="14">
        <v>234484</v>
      </c>
      <c r="O63" s="14">
        <v>201104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>
        <v>604502</v>
      </c>
      <c r="AC63" s="14">
        <v>699374</v>
      </c>
      <c r="AD63" s="14">
        <v>738882</v>
      </c>
      <c r="AE63" s="14">
        <v>1693789</v>
      </c>
      <c r="AF63" s="14">
        <v>208612</v>
      </c>
      <c r="AG63" s="14">
        <v>197810</v>
      </c>
      <c r="AH63" s="14">
        <f>207417+1579</f>
        <v>208996</v>
      </c>
      <c r="AI63" s="14">
        <f>105887+1579</f>
        <v>107466</v>
      </c>
      <c r="AJ63" s="39">
        <v>1999</v>
      </c>
      <c r="AK63" s="39">
        <f t="shared" si="1"/>
        <v>22</v>
      </c>
      <c r="AL63" s="39">
        <v>3</v>
      </c>
      <c r="AM63" s="39">
        <v>1</v>
      </c>
      <c r="AN63" s="39" t="s">
        <v>5</v>
      </c>
    </row>
    <row r="64" spans="1:40" s="15" customFormat="1" ht="72.599999999999994" customHeight="1" x14ac:dyDescent="0.25">
      <c r="A64" s="11" t="s">
        <v>274</v>
      </c>
      <c r="B64" s="12" t="s">
        <v>272</v>
      </c>
      <c r="C64" s="20" t="s">
        <v>275</v>
      </c>
      <c r="D64" s="14">
        <f>25921151+64744+3</f>
        <v>25985898</v>
      </c>
      <c r="E64" s="14">
        <f>27008852+111114+77764</f>
        <v>27197730</v>
      </c>
      <c r="F64" s="14">
        <f>5257258+8153609</f>
        <v>13410867</v>
      </c>
      <c r="G64" s="14">
        <f>10464409</f>
        <v>10464409</v>
      </c>
      <c r="H64" s="14">
        <v>0</v>
      </c>
      <c r="I64" s="14">
        <v>0</v>
      </c>
      <c r="J64" s="14">
        <v>0</v>
      </c>
      <c r="K64" s="14">
        <v>0</v>
      </c>
      <c r="L64" s="14">
        <v>94830</v>
      </c>
      <c r="M64" s="14">
        <v>81030</v>
      </c>
      <c r="N64" s="14">
        <v>125610</v>
      </c>
      <c r="O64" s="41" t="s">
        <v>115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>
        <v>1786997</v>
      </c>
      <c r="AC64" s="14">
        <v>2500456</v>
      </c>
      <c r="AD64" s="14">
        <v>3932460</v>
      </c>
      <c r="AE64" s="14">
        <v>7484776</v>
      </c>
      <c r="AF64" s="14">
        <f>119472+350</f>
        <v>119822</v>
      </c>
      <c r="AG64" s="14">
        <f>98619+350</f>
        <v>98969</v>
      </c>
      <c r="AH64" s="14">
        <f>102091+350</f>
        <v>102441</v>
      </c>
      <c r="AI64" s="14">
        <v>107496</v>
      </c>
      <c r="AJ64" s="39">
        <v>1992</v>
      </c>
      <c r="AK64" s="39">
        <f t="shared" si="1"/>
        <v>29</v>
      </c>
      <c r="AL64" s="39">
        <v>6</v>
      </c>
      <c r="AM64" s="39">
        <v>1</v>
      </c>
      <c r="AN64" s="39" t="s">
        <v>273</v>
      </c>
    </row>
    <row r="65" spans="1:40" ht="60" x14ac:dyDescent="0.25">
      <c r="A65" s="4" t="s">
        <v>281</v>
      </c>
      <c r="B65" s="17" t="s">
        <v>279</v>
      </c>
      <c r="C65" s="20" t="s">
        <v>280</v>
      </c>
      <c r="D65" s="5">
        <f>21248671.21+8423232.8+2559.07+136056.45</f>
        <v>29810519.530000001</v>
      </c>
      <c r="E65" s="5">
        <f>20918822.33+9691801.95+555947.46+96311.63</f>
        <v>31262883.369999997</v>
      </c>
      <c r="F65" s="5">
        <f>23714267.53+9691801.95+1694326.84+77001.84</f>
        <v>35177398.160000004</v>
      </c>
      <c r="G65" s="5">
        <f>26926398.13+12061764.9+704464.12+20695.99</f>
        <v>39713323.140000001</v>
      </c>
      <c r="H65" s="5">
        <f>42002.04-130579.92+16188.98-0+2559.07-2576.4+107675.11-2260.59</f>
        <v>33008.290000000008</v>
      </c>
      <c r="I65" s="5">
        <v>0</v>
      </c>
      <c r="J65" s="5">
        <f>36188.24-0-52997.51+30563.71-2250.84+23906.64-1060.85+37256.17-4619.42</f>
        <v>66986.14</v>
      </c>
      <c r="K65" s="5">
        <f>52173.48-2814.98-28628.19+40422.15-3173.21+8767.75-1154.2+15895.95-2540.01</f>
        <v>78948.740000000005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>
        <f>19707596.21+15434496.2+400786.76+887215.97</f>
        <v>36430095.139999993</v>
      </c>
      <c r="AC65" s="5">
        <f>21590232.1+17027041.12+746379.25+899621.74</f>
        <v>40263274.210000001</v>
      </c>
      <c r="AD65" s="5">
        <f>23641045.22+18810384.02+1603259.61+907674.69</f>
        <v>44962363.539999992</v>
      </c>
      <c r="AE65" s="5">
        <f>31465719.35+20923943.05+1576606.81+873424.97</f>
        <v>54839694.180000007</v>
      </c>
      <c r="AF65" s="5">
        <f>7029590.28+10396849.2+358165.98+0</f>
        <v>17784605.460000001</v>
      </c>
      <c r="AG65" s="5">
        <f>7271720.46+10905738.34+371397.98+0</f>
        <v>18548856.780000001</v>
      </c>
      <c r="AH65" s="5">
        <f>7202348.75+10768820.54+447855.76+0</f>
        <v>18419025.050000001</v>
      </c>
      <c r="AI65" s="5">
        <f>8097745.54+10915364.67+438935.71+0</f>
        <v>19452045.920000002</v>
      </c>
      <c r="AJ65" s="39">
        <v>1976</v>
      </c>
      <c r="AK65" s="39">
        <f t="shared" si="1"/>
        <v>45</v>
      </c>
      <c r="AL65" s="39">
        <v>1</v>
      </c>
      <c r="AM65" s="39">
        <v>1</v>
      </c>
      <c r="AN65" s="39" t="s">
        <v>17</v>
      </c>
    </row>
    <row r="66" spans="1:40" ht="75" x14ac:dyDescent="0.25">
      <c r="A66" s="4" t="s">
        <v>289</v>
      </c>
      <c r="B66" s="17" t="s">
        <v>288</v>
      </c>
      <c r="C66" s="8" t="s">
        <v>290</v>
      </c>
      <c r="D66" s="5">
        <f>7999146</f>
        <v>7999146</v>
      </c>
      <c r="E66" s="5">
        <f>9178877+81928</f>
        <v>9260805</v>
      </c>
      <c r="F66" s="5">
        <f>8171288.96</f>
        <v>8171288.96</v>
      </c>
      <c r="G66" s="5">
        <v>8514181.2400000002</v>
      </c>
      <c r="H66" s="5">
        <v>0</v>
      </c>
      <c r="I66" s="5">
        <v>81928</v>
      </c>
      <c r="J66" s="5">
        <f>205733.06-20698.16</f>
        <v>185034.9</v>
      </c>
      <c r="K66" s="5">
        <f>29447.51-19359.63</f>
        <v>10087.879999999997</v>
      </c>
      <c r="L66" s="5">
        <v>260705</v>
      </c>
      <c r="M66" s="5">
        <v>300465</v>
      </c>
      <c r="N66" s="5" t="s">
        <v>115</v>
      </c>
      <c r="O66" s="41" t="s">
        <v>115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>
        <v>3828137</v>
      </c>
      <c r="AC66" s="5">
        <v>5599328</v>
      </c>
      <c r="AD66" s="5">
        <v>3816722.45</v>
      </c>
      <c r="AE66" s="5">
        <v>4633519.68</v>
      </c>
      <c r="AF66" s="5">
        <v>553594</v>
      </c>
      <c r="AG66" s="5">
        <v>472041</v>
      </c>
      <c r="AH66" s="5">
        <v>351671.01</v>
      </c>
      <c r="AI66" s="5">
        <v>431857.03</v>
      </c>
      <c r="AJ66" s="39">
        <v>2002</v>
      </c>
      <c r="AK66" s="39">
        <f t="shared" si="1"/>
        <v>19</v>
      </c>
      <c r="AL66" s="39">
        <v>3</v>
      </c>
      <c r="AM66" s="39">
        <v>1</v>
      </c>
      <c r="AN66" s="39" t="s">
        <v>5</v>
      </c>
    </row>
    <row r="67" spans="1:40" ht="45" x14ac:dyDescent="0.25">
      <c r="A67" s="4" t="s">
        <v>295</v>
      </c>
      <c r="B67" s="17" t="s">
        <v>294</v>
      </c>
      <c r="C67" s="8" t="s">
        <v>296</v>
      </c>
      <c r="D67" s="5">
        <f>18431929.71</f>
        <v>18431929.710000001</v>
      </c>
      <c r="E67" s="5">
        <v>19205708.149999999</v>
      </c>
      <c r="F67" s="5">
        <v>27337875.350000001</v>
      </c>
      <c r="G67" s="5">
        <v>21102528.09</v>
      </c>
      <c r="H67" s="5">
        <f>58754.22-45904.56</f>
        <v>12849.660000000003</v>
      </c>
      <c r="I67" s="5">
        <f>77574.23-20419.75</f>
        <v>57154.479999999996</v>
      </c>
      <c r="J67" s="5">
        <f>50027.96-44490.02</f>
        <v>5537.9400000000023</v>
      </c>
      <c r="K67" s="5">
        <v>0</v>
      </c>
      <c r="L67" s="5">
        <v>261871.28</v>
      </c>
      <c r="M67" s="5">
        <v>296830.99</v>
      </c>
      <c r="N67" s="5">
        <v>341797.96</v>
      </c>
      <c r="O67" s="5">
        <v>79430.36</v>
      </c>
      <c r="P67" s="5">
        <f>2540129.55+5103621.63+896458.49</f>
        <v>8540209.6699999999</v>
      </c>
      <c r="Q67" s="5">
        <f>2715818.49+5191601.66+770407.02</f>
        <v>8677827.1699999999</v>
      </c>
      <c r="R67" s="5">
        <f>2614330.24+5218852.54+8473647.36</f>
        <v>16306830.140000001</v>
      </c>
      <c r="S67" s="5">
        <f>2541939.97+3639469.34+3919183.26</f>
        <v>10100592.57</v>
      </c>
      <c r="T67" s="5">
        <f>67860.31+884.8+6869820.57+2953154.36</f>
        <v>9891720.040000001</v>
      </c>
      <c r="U67" s="5">
        <f>102055.39+13932.19+7155224.29+3256669.11</f>
        <v>10527880.98</v>
      </c>
      <c r="V67" s="5">
        <f>16981.48+121388.36+7415420.01+3477255.36</f>
        <v>11031045.209999999</v>
      </c>
      <c r="W67" s="5">
        <f>9380.38+7829400.17+3163154.97</f>
        <v>11001935.52</v>
      </c>
      <c r="X67" s="5"/>
      <c r="Y67" s="5"/>
      <c r="Z67" s="5"/>
      <c r="AA67" s="5"/>
      <c r="AB67" s="5">
        <v>7490552.79</v>
      </c>
      <c r="AC67" s="5">
        <v>7293189.3899999997</v>
      </c>
      <c r="AD67" s="5">
        <v>15189063.65</v>
      </c>
      <c r="AE67" s="5">
        <v>16349481.6</v>
      </c>
      <c r="AF67" s="5">
        <v>2605684.9300000002</v>
      </c>
      <c r="AG67" s="5">
        <v>2801128.92</v>
      </c>
      <c r="AH67" s="5">
        <v>10282276.59</v>
      </c>
      <c r="AI67" s="5">
        <v>10034342.380000001</v>
      </c>
      <c r="AJ67" s="39">
        <v>1969</v>
      </c>
      <c r="AK67" s="39">
        <f t="shared" si="1"/>
        <v>52</v>
      </c>
      <c r="AL67" s="39">
        <v>3</v>
      </c>
      <c r="AM67" s="39">
        <v>1</v>
      </c>
      <c r="AN67" s="39" t="s">
        <v>297</v>
      </c>
    </row>
    <row r="68" spans="1:40" ht="60" x14ac:dyDescent="0.25">
      <c r="A68" s="4" t="s">
        <v>300</v>
      </c>
      <c r="B68" s="17" t="s">
        <v>298</v>
      </c>
      <c r="C68" s="8" t="s">
        <v>299</v>
      </c>
      <c r="D68" s="5">
        <f>23241076+7356472+966657</f>
        <v>31564205</v>
      </c>
      <c r="E68" s="5">
        <f>32179719+11113476+432052</f>
        <v>43725247</v>
      </c>
      <c r="F68" s="5">
        <f>38641510+17628490+529314</f>
        <v>56799314</v>
      </c>
      <c r="G68" s="5">
        <f>61279632+15668641+361206</f>
        <v>77309479</v>
      </c>
      <c r="H68" s="5">
        <f>966657-227770</f>
        <v>738887</v>
      </c>
      <c r="I68" s="5">
        <f>432052-215630</f>
        <v>216422</v>
      </c>
      <c r="J68" s="5">
        <f>529314-242899</f>
        <v>286415</v>
      </c>
      <c r="K68" s="5">
        <f>361206-340156</f>
        <v>21050</v>
      </c>
      <c r="L68" s="5">
        <v>1856190</v>
      </c>
      <c r="M68" s="5">
        <v>2183105</v>
      </c>
      <c r="N68" s="5">
        <v>2230268</v>
      </c>
      <c r="O68" s="5">
        <v>1469136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>
        <v>25346265</v>
      </c>
      <c r="AC68" s="5">
        <v>30527527</v>
      </c>
      <c r="AD68" s="5">
        <v>35383020</v>
      </c>
      <c r="AE68" s="5">
        <v>57622196</v>
      </c>
      <c r="AF68" s="5">
        <f>10496340+20660</f>
        <v>10517000</v>
      </c>
      <c r="AG68" s="5">
        <f>12018824+20660</f>
        <v>12039484</v>
      </c>
      <c r="AH68" s="5">
        <v>14205566</v>
      </c>
      <c r="AI68" s="5">
        <v>31682258</v>
      </c>
      <c r="AJ68" s="39">
        <v>2002</v>
      </c>
      <c r="AK68" s="39">
        <f t="shared" si="1"/>
        <v>19</v>
      </c>
      <c r="AL68" s="39">
        <v>1</v>
      </c>
      <c r="AM68" s="39">
        <v>1</v>
      </c>
      <c r="AN68" s="39" t="s">
        <v>5</v>
      </c>
    </row>
    <row r="69" spans="1:40" ht="45" x14ac:dyDescent="0.25">
      <c r="A69" s="4" t="s">
        <v>304</v>
      </c>
      <c r="B69" s="17" t="s">
        <v>303</v>
      </c>
      <c r="C69" s="8" t="s">
        <v>256</v>
      </c>
      <c r="D69" s="5">
        <f>49662161+106166</f>
        <v>49768327</v>
      </c>
      <c r="E69" s="5">
        <f>54094280+385998</f>
        <v>54480278</v>
      </c>
      <c r="F69" s="5">
        <f>56572256+509952</f>
        <v>57082208</v>
      </c>
      <c r="G69" s="5">
        <f>66960148+280822</f>
        <v>67240970</v>
      </c>
      <c r="H69" s="5">
        <v>0</v>
      </c>
      <c r="I69" s="5">
        <v>0</v>
      </c>
      <c r="J69" s="5">
        <v>0</v>
      </c>
      <c r="K69" s="5">
        <v>0</v>
      </c>
      <c r="L69" s="5">
        <v>205448</v>
      </c>
      <c r="M69" s="5">
        <v>501067</v>
      </c>
      <c r="N69" s="5">
        <v>692600</v>
      </c>
      <c r="O69" s="5">
        <v>721897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>
        <v>25403659</v>
      </c>
      <c r="AC69" s="5">
        <v>31479549</v>
      </c>
      <c r="AD69" s="5">
        <v>34644898</v>
      </c>
      <c r="AE69" s="5">
        <v>35952386</v>
      </c>
      <c r="AF69" s="5">
        <f>2006850+15262570+33434</f>
        <v>17302854</v>
      </c>
      <c r="AG69" s="5">
        <f>1944453+14821501+64861</f>
        <v>16830815</v>
      </c>
      <c r="AH69" s="5">
        <f>1885123+16429624+41878</f>
        <v>18356625</v>
      </c>
      <c r="AI69" s="5">
        <f>1825789+16163963+18895</f>
        <v>18008647</v>
      </c>
      <c r="AJ69" s="39">
        <v>1967</v>
      </c>
      <c r="AK69" s="39">
        <f t="shared" si="1"/>
        <v>54</v>
      </c>
      <c r="AL69" s="39">
        <v>1</v>
      </c>
      <c r="AM69" s="39">
        <v>1</v>
      </c>
      <c r="AN69" s="39" t="s">
        <v>5</v>
      </c>
    </row>
    <row r="70" spans="1:40" ht="90" x14ac:dyDescent="0.25">
      <c r="A70" s="4" t="s">
        <v>308</v>
      </c>
      <c r="B70" s="17" t="s">
        <v>307</v>
      </c>
      <c r="C70" s="8" t="s">
        <v>309</v>
      </c>
      <c r="D70" s="5">
        <f>1104515.88+18436.14</f>
        <v>1122952.0199999998</v>
      </c>
      <c r="E70" s="5">
        <f>1605962.72+225.45</f>
        <v>1606188.17</v>
      </c>
      <c r="F70" s="5">
        <f>1373081.9+47966.68</f>
        <v>1421048.5799999998</v>
      </c>
      <c r="G70" s="5">
        <f>2332463.79+34262.94</f>
        <v>2366726.73</v>
      </c>
      <c r="H70" s="5">
        <f>17126.51-3189.69</f>
        <v>13936.819999999998</v>
      </c>
      <c r="I70" s="5">
        <v>0</v>
      </c>
      <c r="J70" s="5">
        <v>41800.65</v>
      </c>
      <c r="K70" s="5">
        <f>34262.94-16848.94</f>
        <v>17414.000000000004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>
        <v>359529.66</v>
      </c>
      <c r="AC70" s="5">
        <v>837793.75</v>
      </c>
      <c r="AD70" s="5">
        <v>986418.53</v>
      </c>
      <c r="AE70" s="41" t="s">
        <v>115</v>
      </c>
      <c r="AF70" s="5">
        <v>13571.69</v>
      </c>
      <c r="AG70" s="5">
        <v>16779.21</v>
      </c>
      <c r="AH70" s="5">
        <v>31623.72</v>
      </c>
      <c r="AI70" s="41" t="s">
        <v>115</v>
      </c>
      <c r="AJ70" s="39">
        <v>2010</v>
      </c>
      <c r="AK70" s="39">
        <f t="shared" si="1"/>
        <v>11</v>
      </c>
      <c r="AL70" s="39">
        <v>1</v>
      </c>
      <c r="AM70" s="39">
        <v>1</v>
      </c>
      <c r="AN70" s="39" t="s">
        <v>51</v>
      </c>
    </row>
    <row r="71" spans="1:40" ht="45" x14ac:dyDescent="0.25">
      <c r="A71" s="4" t="s">
        <v>311</v>
      </c>
      <c r="B71" s="17" t="s">
        <v>310</v>
      </c>
      <c r="C71" s="8" t="s">
        <v>256</v>
      </c>
      <c r="D71" s="5">
        <f>15406000+230000</f>
        <v>15636000</v>
      </c>
      <c r="E71" s="5">
        <f>16140000+174000</f>
        <v>16314000</v>
      </c>
      <c r="F71" s="5">
        <f>19325000+257000</f>
        <v>19582000</v>
      </c>
      <c r="G71" s="5">
        <f>15315000+143000</f>
        <v>15458000</v>
      </c>
      <c r="H71" s="5">
        <v>111000</v>
      </c>
      <c r="I71" s="5">
        <v>76000</v>
      </c>
      <c r="J71" s="5">
        <v>152000</v>
      </c>
      <c r="K71" s="5">
        <v>31000</v>
      </c>
      <c r="L71" s="5">
        <v>526000</v>
      </c>
      <c r="M71" s="5">
        <v>444000</v>
      </c>
      <c r="N71" s="5">
        <v>398000</v>
      </c>
      <c r="O71" s="5">
        <v>302000</v>
      </c>
      <c r="P71" s="5">
        <v>4776000</v>
      </c>
      <c r="Q71" s="5">
        <v>2937000</v>
      </c>
      <c r="R71" s="5">
        <v>3939000</v>
      </c>
      <c r="S71" s="5">
        <v>2793000</v>
      </c>
      <c r="T71" s="5">
        <v>10630000</v>
      </c>
      <c r="U71" s="5">
        <v>13203000</v>
      </c>
      <c r="V71" s="5">
        <v>15386000</v>
      </c>
      <c r="W71" s="5">
        <v>12522000</v>
      </c>
      <c r="X71" s="5"/>
      <c r="Y71" s="5"/>
      <c r="Z71" s="5"/>
      <c r="AA71" s="5"/>
      <c r="AB71" s="5">
        <v>12708000</v>
      </c>
      <c r="AC71" s="5">
        <v>12483000</v>
      </c>
      <c r="AD71" s="5">
        <v>13649000</v>
      </c>
      <c r="AE71" s="5">
        <v>12487000</v>
      </c>
      <c r="AF71" s="5">
        <f>1994000+57000</f>
        <v>2051000</v>
      </c>
      <c r="AG71" s="5">
        <f>1923000+60000</f>
        <v>1983000</v>
      </c>
      <c r="AH71" s="5">
        <f>1941000+54000</f>
        <v>1995000</v>
      </c>
      <c r="AI71" s="5">
        <f>1894000+35000</f>
        <v>1929000</v>
      </c>
      <c r="AJ71" s="39">
        <v>1967</v>
      </c>
      <c r="AK71" s="39">
        <f t="shared" si="1"/>
        <v>54</v>
      </c>
      <c r="AL71" s="39">
        <v>1</v>
      </c>
      <c r="AM71" s="39">
        <v>1</v>
      </c>
      <c r="AN71" s="39" t="s">
        <v>5</v>
      </c>
    </row>
    <row r="72" spans="1:40" ht="60" x14ac:dyDescent="0.25">
      <c r="A72" s="4" t="s">
        <v>313</v>
      </c>
      <c r="B72" s="17" t="s">
        <v>312</v>
      </c>
      <c r="C72" s="8" t="s">
        <v>314</v>
      </c>
      <c r="D72" s="5">
        <f>7595104+403.16+227835.57+1189829.01+2254864.4</f>
        <v>11268036.140000001</v>
      </c>
      <c r="E72" s="5">
        <f>7852940.07+9345.1+8175.04+2209796.57+111234.02+538997.66</f>
        <v>10730488.459999999</v>
      </c>
      <c r="F72" s="5">
        <f>7739835.99+44591.73+10059.72+121844.3+169987.75+1393170.3</f>
        <v>9479489.790000001</v>
      </c>
      <c r="G72" s="5">
        <f>7552074.31+16199.93+65499.19+134802.14+1021002.17</f>
        <v>8789577.7400000002</v>
      </c>
      <c r="H72" s="5">
        <f>104482.81</f>
        <v>104482.81</v>
      </c>
      <c r="I72" s="5">
        <v>0</v>
      </c>
      <c r="J72" s="5">
        <v>13661.58</v>
      </c>
      <c r="K72" s="5">
        <v>0</v>
      </c>
      <c r="L72" s="41" t="s">
        <v>115</v>
      </c>
      <c r="M72" s="41" t="s">
        <v>115</v>
      </c>
      <c r="N72" s="5">
        <v>169987.75</v>
      </c>
      <c r="O72" s="5">
        <v>134802.14000000001</v>
      </c>
      <c r="P72" s="5">
        <v>1189829.01</v>
      </c>
      <c r="Q72" s="5">
        <v>538997.66</v>
      </c>
      <c r="R72" s="5">
        <v>1393170.3</v>
      </c>
      <c r="S72" s="5">
        <v>1021002.017</v>
      </c>
      <c r="T72" s="5">
        <f>D72-P72</f>
        <v>10078207.130000001</v>
      </c>
      <c r="U72" s="5">
        <f>E72-Q72</f>
        <v>10191490.799999999</v>
      </c>
      <c r="V72" s="5">
        <f>F72-R72</f>
        <v>8086319.4900000012</v>
      </c>
      <c r="W72" s="5">
        <f>G72-S72</f>
        <v>7768575.7230000002</v>
      </c>
      <c r="X72" s="5"/>
      <c r="Y72" s="5"/>
      <c r="Z72" s="5"/>
      <c r="AA72" s="5"/>
      <c r="AB72" s="5">
        <v>18162175.73</v>
      </c>
      <c r="AC72" s="5">
        <v>15166409.109999999</v>
      </c>
      <c r="AD72" s="5">
        <v>14489203.189999999</v>
      </c>
      <c r="AE72" s="5">
        <v>14085296.76</v>
      </c>
      <c r="AF72" s="5">
        <v>9745177.9499999993</v>
      </c>
      <c r="AG72" s="5">
        <v>9883930.6300000008</v>
      </c>
      <c r="AH72" s="5">
        <v>9248181.6400000006</v>
      </c>
      <c r="AI72" s="5">
        <v>8815065.3000000007</v>
      </c>
      <c r="AJ72" s="39">
        <v>1986</v>
      </c>
      <c r="AK72" s="39">
        <f t="shared" si="1"/>
        <v>35</v>
      </c>
      <c r="AL72" s="39">
        <v>3</v>
      </c>
      <c r="AM72" s="39">
        <v>1</v>
      </c>
      <c r="AN72" s="39" t="s">
        <v>192</v>
      </c>
    </row>
    <row r="73" spans="1:40" ht="60" x14ac:dyDescent="0.25">
      <c r="A73" s="4" t="s">
        <v>316</v>
      </c>
      <c r="B73" s="17" t="s">
        <v>315</v>
      </c>
      <c r="C73" s="8" t="s">
        <v>317</v>
      </c>
      <c r="D73" s="5">
        <f>2774994</f>
        <v>2774994</v>
      </c>
      <c r="E73" s="5">
        <v>3076184</v>
      </c>
      <c r="F73" s="5">
        <f>3634734+22182</f>
        <v>3656916</v>
      </c>
      <c r="G73" s="5">
        <f>4008178+10141</f>
        <v>4018319</v>
      </c>
      <c r="H73" s="5">
        <f>34059-15228</f>
        <v>18831</v>
      </c>
      <c r="I73" s="5">
        <f>12264-8201</f>
        <v>4063</v>
      </c>
      <c r="J73" s="5">
        <v>7118</v>
      </c>
      <c r="K73" s="5">
        <v>379</v>
      </c>
      <c r="L73" s="5">
        <v>153000</v>
      </c>
      <c r="M73" s="5">
        <v>657140</v>
      </c>
      <c r="N73" s="5">
        <v>785134</v>
      </c>
      <c r="O73" s="5">
        <v>944368</v>
      </c>
      <c r="P73" s="5">
        <v>1752486</v>
      </c>
      <c r="Q73" s="5">
        <v>1695193</v>
      </c>
      <c r="R73" s="5">
        <v>1723205</v>
      </c>
      <c r="S73" s="5">
        <v>1865855</v>
      </c>
      <c r="T73" s="5">
        <v>1022508</v>
      </c>
      <c r="U73" s="5">
        <v>1380991</v>
      </c>
      <c r="V73" s="5">
        <v>1911529</v>
      </c>
      <c r="W73" s="5">
        <v>2142323</v>
      </c>
      <c r="X73" s="5"/>
      <c r="Y73" s="5"/>
      <c r="Z73" s="5"/>
      <c r="AA73" s="5"/>
      <c r="AB73" s="5">
        <v>667876</v>
      </c>
      <c r="AC73" s="5">
        <v>422936</v>
      </c>
      <c r="AD73" s="5">
        <v>822306</v>
      </c>
      <c r="AE73" s="5">
        <v>1091133</v>
      </c>
      <c r="AF73" s="5">
        <v>151958</v>
      </c>
      <c r="AG73" s="5">
        <v>117217</v>
      </c>
      <c r="AH73" s="5">
        <f>91926+3019</f>
        <v>94945</v>
      </c>
      <c r="AI73" s="5">
        <f>33574</f>
        <v>33574</v>
      </c>
      <c r="AJ73" s="39">
        <v>2000</v>
      </c>
      <c r="AK73" s="39">
        <f t="shared" si="1"/>
        <v>21</v>
      </c>
      <c r="AL73" s="39">
        <v>1</v>
      </c>
      <c r="AM73" s="39">
        <v>1</v>
      </c>
      <c r="AN73" s="39" t="s">
        <v>5</v>
      </c>
    </row>
    <row r="74" spans="1:40" x14ac:dyDescent="0.25">
      <c r="A74" s="4"/>
      <c r="B74" s="4"/>
      <c r="C74" s="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39"/>
      <c r="AK74" s="39"/>
      <c r="AL74" s="39"/>
      <c r="AM74" s="39"/>
      <c r="AN74" s="39"/>
    </row>
    <row r="75" spans="1:40" x14ac:dyDescent="0.25">
      <c r="A75" s="4"/>
      <c r="B75" s="4"/>
      <c r="C75" s="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39"/>
      <c r="AK75" s="39"/>
      <c r="AL75" s="39"/>
      <c r="AM75" s="39"/>
      <c r="AN75" s="39"/>
    </row>
    <row r="76" spans="1:40" x14ac:dyDescent="0.25">
      <c r="A76" s="4"/>
      <c r="B76" s="4"/>
      <c r="C76" s="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39"/>
      <c r="AK76" s="39"/>
      <c r="AL76" s="39"/>
      <c r="AM76" s="39"/>
      <c r="AN76" s="39"/>
    </row>
    <row r="77" spans="1:40" x14ac:dyDescent="0.25">
      <c r="A77" s="4"/>
      <c r="B77" s="4"/>
      <c r="C77" s="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39"/>
      <c r="AK77" s="39"/>
      <c r="AL77" s="39"/>
      <c r="AM77" s="39"/>
      <c r="AN77" s="39"/>
    </row>
    <row r="78" spans="1:40" x14ac:dyDescent="0.25">
      <c r="A78" s="4"/>
      <c r="B78" s="4"/>
      <c r="C78" s="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39"/>
      <c r="AK78" s="39"/>
      <c r="AL78" s="39"/>
      <c r="AM78" s="39"/>
      <c r="AN78" s="39"/>
    </row>
    <row r="79" spans="1:40" x14ac:dyDescent="0.25">
      <c r="A79" s="4"/>
      <c r="B79" s="4"/>
      <c r="C79" s="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39"/>
      <c r="AK79" s="39"/>
      <c r="AL79" s="39"/>
      <c r="AM79" s="39"/>
      <c r="AN79" s="39"/>
    </row>
    <row r="80" spans="1:40" x14ac:dyDescent="0.25">
      <c r="A80" s="4"/>
      <c r="B80" s="4"/>
      <c r="C80" s="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39"/>
      <c r="AK80" s="39"/>
      <c r="AL80" s="39"/>
      <c r="AM80" s="39"/>
      <c r="AN80" s="39"/>
    </row>
    <row r="81" spans="1:40" x14ac:dyDescent="0.25">
      <c r="A81" s="4"/>
      <c r="B81" s="4"/>
      <c r="C81" s="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39"/>
      <c r="AK81" s="39"/>
      <c r="AL81" s="39"/>
      <c r="AM81" s="39"/>
      <c r="AN81" s="39"/>
    </row>
    <row r="82" spans="1:40" x14ac:dyDescent="0.25">
      <c r="A82" s="4"/>
      <c r="B82" s="4"/>
      <c r="C82" s="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39"/>
      <c r="AK82" s="39"/>
      <c r="AL82" s="39"/>
      <c r="AM82" s="39"/>
      <c r="AN82" s="39"/>
    </row>
    <row r="83" spans="1:40" x14ac:dyDescent="0.25">
      <c r="A83" s="4"/>
      <c r="B83" s="4"/>
      <c r="C83" s="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39"/>
      <c r="AK83" s="39"/>
      <c r="AL83" s="39"/>
      <c r="AM83" s="39"/>
      <c r="AN83" s="39"/>
    </row>
    <row r="84" spans="1:40" x14ac:dyDescent="0.25">
      <c r="A84" s="4"/>
      <c r="B84" s="4"/>
      <c r="C84" s="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39"/>
      <c r="AK84" s="39"/>
      <c r="AL84" s="39"/>
      <c r="AM84" s="39"/>
      <c r="AN84" s="39"/>
    </row>
    <row r="85" spans="1:40" x14ac:dyDescent="0.25">
      <c r="A85" s="4"/>
      <c r="B85" s="4"/>
      <c r="C85" s="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39"/>
      <c r="AK85" s="39"/>
      <c r="AL85" s="39"/>
      <c r="AM85" s="39"/>
      <c r="AN85" s="39"/>
    </row>
    <row r="86" spans="1:40" x14ac:dyDescent="0.25">
      <c r="A86" s="4"/>
      <c r="B86" s="4"/>
      <c r="C86" s="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39"/>
      <c r="AK86" s="39"/>
      <c r="AL86" s="39"/>
      <c r="AM86" s="39"/>
      <c r="AN86" s="39"/>
    </row>
    <row r="87" spans="1:40" x14ac:dyDescent="0.25">
      <c r="A87" s="4"/>
      <c r="B87" s="4"/>
      <c r="C87" s="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39"/>
      <c r="AK87" s="39"/>
      <c r="AL87" s="39"/>
      <c r="AM87" s="39"/>
      <c r="AN87" s="39"/>
    </row>
    <row r="88" spans="1:40" x14ac:dyDescent="0.25">
      <c r="A88" s="4"/>
      <c r="B88" s="4"/>
      <c r="C88" s="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39"/>
      <c r="AK88" s="39"/>
      <c r="AL88" s="39"/>
      <c r="AM88" s="39"/>
      <c r="AN88" s="39"/>
    </row>
    <row r="89" spans="1:40" x14ac:dyDescent="0.25">
      <c r="A89" s="4"/>
      <c r="B89" s="4"/>
      <c r="C89" s="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39"/>
      <c r="AK89" s="39"/>
      <c r="AL89" s="39"/>
      <c r="AM89" s="39"/>
      <c r="AN89" s="39"/>
    </row>
    <row r="90" spans="1:40" x14ac:dyDescent="0.25">
      <c r="A90" s="4"/>
      <c r="B90" s="4"/>
      <c r="C90" s="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39"/>
      <c r="AK90" s="39"/>
      <c r="AL90" s="39"/>
      <c r="AM90" s="39"/>
      <c r="AN90" s="39"/>
    </row>
    <row r="91" spans="1:40" x14ac:dyDescent="0.25">
      <c r="A91" s="4"/>
      <c r="B91" s="4"/>
      <c r="C91" s="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39"/>
      <c r="AK91" s="39"/>
      <c r="AL91" s="39"/>
      <c r="AM91" s="39"/>
      <c r="AN91" s="39"/>
    </row>
    <row r="92" spans="1:40" x14ac:dyDescent="0.25">
      <c r="A92" s="4"/>
      <c r="B92" s="4"/>
      <c r="C92" s="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39"/>
      <c r="AK92" s="39"/>
      <c r="AL92" s="39"/>
      <c r="AM92" s="39"/>
      <c r="AN92" s="39"/>
    </row>
    <row r="93" spans="1:40" x14ac:dyDescent="0.25">
      <c r="A93" s="4"/>
      <c r="B93" s="4"/>
      <c r="C93" s="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39"/>
      <c r="AK93" s="39"/>
      <c r="AL93" s="39"/>
      <c r="AM93" s="39"/>
      <c r="AN93" s="39"/>
    </row>
    <row r="94" spans="1:40" x14ac:dyDescent="0.25">
      <c r="A94" s="4"/>
      <c r="B94" s="4"/>
      <c r="C94" s="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39"/>
      <c r="AK94" s="39"/>
      <c r="AL94" s="39"/>
      <c r="AM94" s="39"/>
      <c r="AN94" s="39"/>
    </row>
    <row r="95" spans="1:40" x14ac:dyDescent="0.25">
      <c r="A95" s="4"/>
      <c r="B95" s="4"/>
      <c r="C95" s="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39"/>
      <c r="AK95" s="39"/>
      <c r="AL95" s="39"/>
      <c r="AM95" s="39"/>
      <c r="AN95" s="39"/>
    </row>
    <row r="96" spans="1:40" x14ac:dyDescent="0.25">
      <c r="A96" s="4"/>
      <c r="B96" s="4"/>
      <c r="C96" s="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39"/>
      <c r="AK96" s="39"/>
      <c r="AL96" s="39"/>
      <c r="AM96" s="39"/>
      <c r="AN96" s="39"/>
    </row>
    <row r="97" spans="1:40" x14ac:dyDescent="0.25">
      <c r="A97" s="4"/>
      <c r="B97" s="4"/>
      <c r="C97" s="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39"/>
      <c r="AK97" s="39"/>
      <c r="AL97" s="39"/>
      <c r="AM97" s="39"/>
      <c r="AN97" s="39"/>
    </row>
    <row r="98" spans="1:40" x14ac:dyDescent="0.25">
      <c r="A98" s="4"/>
      <c r="B98" s="4"/>
      <c r="C98" s="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39"/>
      <c r="AK98" s="39"/>
      <c r="AL98" s="39"/>
      <c r="AM98" s="39"/>
      <c r="AN98" s="39"/>
    </row>
    <row r="99" spans="1:40" x14ac:dyDescent="0.25">
      <c r="A99" s="4"/>
      <c r="B99" s="4"/>
      <c r="C99" s="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39"/>
      <c r="AK99" s="39"/>
      <c r="AL99" s="39"/>
      <c r="AM99" s="39"/>
      <c r="AN99" s="39"/>
    </row>
    <row r="100" spans="1:40" x14ac:dyDescent="0.25">
      <c r="A100" s="4"/>
      <c r="B100" s="4"/>
      <c r="C100" s="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39"/>
      <c r="AK100" s="39"/>
      <c r="AL100" s="39"/>
      <c r="AM100" s="39"/>
      <c r="AN100" s="39"/>
    </row>
    <row r="101" spans="1:40" x14ac:dyDescent="0.25">
      <c r="A101" s="4"/>
      <c r="B101" s="4"/>
      <c r="C101" s="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39"/>
      <c r="AK101" s="39"/>
      <c r="AL101" s="39"/>
      <c r="AM101" s="39"/>
      <c r="AN101" s="39"/>
    </row>
    <row r="102" spans="1:40" x14ac:dyDescent="0.25">
      <c r="A102" s="4"/>
      <c r="B102" s="4"/>
      <c r="C102" s="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39"/>
      <c r="AK102" s="39"/>
      <c r="AL102" s="39"/>
      <c r="AM102" s="39"/>
      <c r="AN102" s="39"/>
    </row>
    <row r="103" spans="1:40" x14ac:dyDescent="0.25">
      <c r="A103" s="4"/>
      <c r="B103" s="4"/>
      <c r="C103" s="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39"/>
      <c r="AK103" s="39"/>
      <c r="AL103" s="39"/>
      <c r="AM103" s="39"/>
      <c r="AN103" s="39"/>
    </row>
    <row r="104" spans="1:40" x14ac:dyDescent="0.25">
      <c r="A104" s="4"/>
      <c r="B104" s="4"/>
      <c r="C104" s="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39"/>
      <c r="AK104" s="39"/>
      <c r="AL104" s="39"/>
      <c r="AM104" s="39"/>
      <c r="AN104" s="39"/>
    </row>
    <row r="105" spans="1:40" x14ac:dyDescent="0.25">
      <c r="A105" s="4"/>
      <c r="B105" s="4"/>
      <c r="C105" s="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39"/>
      <c r="AK105" s="39"/>
      <c r="AL105" s="39"/>
      <c r="AM105" s="39"/>
      <c r="AN105" s="39"/>
    </row>
    <row r="106" spans="1:40" x14ac:dyDescent="0.25">
      <c r="A106" s="4"/>
      <c r="B106" s="4"/>
      <c r="C106" s="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39"/>
      <c r="AK106" s="39"/>
      <c r="AL106" s="39"/>
      <c r="AM106" s="39"/>
      <c r="AN106" s="39"/>
    </row>
    <row r="107" spans="1:40" x14ac:dyDescent="0.25">
      <c r="A107" s="4"/>
      <c r="B107" s="4"/>
      <c r="C107" s="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39"/>
      <c r="AK107" s="39"/>
      <c r="AL107" s="39"/>
      <c r="AM107" s="39"/>
      <c r="AN107" s="39"/>
    </row>
    <row r="108" spans="1:40" x14ac:dyDescent="0.25">
      <c r="A108" s="4"/>
      <c r="B108" s="4"/>
      <c r="C108" s="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39"/>
      <c r="AK108" s="39"/>
      <c r="AL108" s="39"/>
      <c r="AM108" s="39"/>
      <c r="AN108" s="39"/>
    </row>
    <row r="109" spans="1:40" x14ac:dyDescent="0.25">
      <c r="A109" s="4"/>
      <c r="B109" s="4"/>
      <c r="C109" s="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39"/>
      <c r="AK109" s="39"/>
      <c r="AL109" s="39"/>
      <c r="AM109" s="39"/>
      <c r="AN109" s="39"/>
    </row>
    <row r="110" spans="1:40" x14ac:dyDescent="0.25">
      <c r="A110" s="4"/>
      <c r="B110" s="4"/>
      <c r="C110" s="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39"/>
      <c r="AK110" s="39"/>
      <c r="AL110" s="39"/>
      <c r="AM110" s="39"/>
      <c r="AN110" s="39"/>
    </row>
    <row r="111" spans="1:40" x14ac:dyDescent="0.25">
      <c r="A111" s="4"/>
      <c r="B111" s="4"/>
      <c r="C111" s="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39"/>
      <c r="AK111" s="39"/>
      <c r="AL111" s="39"/>
      <c r="AM111" s="39"/>
      <c r="AN111" s="39"/>
    </row>
    <row r="112" spans="1:40" x14ac:dyDescent="0.25">
      <c r="A112" s="4"/>
      <c r="B112" s="4"/>
      <c r="C112" s="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39"/>
      <c r="AK112" s="39"/>
      <c r="AL112" s="39"/>
      <c r="AM112" s="39"/>
      <c r="AN112" s="39"/>
    </row>
    <row r="113" spans="1:40" x14ac:dyDescent="0.25">
      <c r="A113" s="4"/>
      <c r="B113" s="4"/>
      <c r="C113" s="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39"/>
      <c r="AK113" s="39"/>
      <c r="AL113" s="39"/>
      <c r="AM113" s="39"/>
      <c r="AN113" s="39"/>
    </row>
    <row r="114" spans="1:40" x14ac:dyDescent="0.25">
      <c r="A114" s="4"/>
      <c r="B114" s="4"/>
      <c r="C114" s="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39"/>
      <c r="AK114" s="39"/>
      <c r="AL114" s="39"/>
      <c r="AM114" s="39"/>
      <c r="AN114" s="39"/>
    </row>
    <row r="115" spans="1:40" x14ac:dyDescent="0.25">
      <c r="A115" s="4"/>
      <c r="B115" s="4"/>
      <c r="C115" s="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39"/>
      <c r="AK115" s="39"/>
      <c r="AL115" s="39"/>
      <c r="AM115" s="39"/>
      <c r="AN115" s="39"/>
    </row>
    <row r="116" spans="1:40" x14ac:dyDescent="0.25">
      <c r="A116" s="4"/>
      <c r="B116" s="4"/>
      <c r="C116" s="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39"/>
      <c r="AK116" s="39"/>
      <c r="AL116" s="39"/>
      <c r="AM116" s="39"/>
      <c r="AN116" s="39"/>
    </row>
    <row r="117" spans="1:40" x14ac:dyDescent="0.25">
      <c r="A117" s="4"/>
      <c r="B117" s="4"/>
      <c r="C117" s="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39"/>
      <c r="AK117" s="39"/>
      <c r="AL117" s="39"/>
      <c r="AM117" s="39"/>
      <c r="AN117" s="39"/>
    </row>
    <row r="118" spans="1:40" x14ac:dyDescent="0.25">
      <c r="A118" s="4"/>
      <c r="B118" s="4"/>
      <c r="C118" s="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39"/>
      <c r="AK118" s="39"/>
      <c r="AL118" s="39"/>
      <c r="AM118" s="39"/>
      <c r="AN118" s="39"/>
    </row>
    <row r="119" spans="1:40" x14ac:dyDescent="0.25">
      <c r="A119" s="4"/>
      <c r="B119" s="4"/>
      <c r="C119" s="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39"/>
      <c r="AK119" s="39"/>
      <c r="AL119" s="39"/>
      <c r="AM119" s="39"/>
      <c r="AN119" s="39"/>
    </row>
    <row r="120" spans="1:40" x14ac:dyDescent="0.25">
      <c r="A120" s="4"/>
      <c r="B120" s="4"/>
      <c r="C120" s="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39"/>
      <c r="AK120" s="39"/>
      <c r="AL120" s="39"/>
      <c r="AM120" s="39"/>
      <c r="AN120" s="39"/>
    </row>
    <row r="121" spans="1:40" x14ac:dyDescent="0.25">
      <c r="A121" s="4"/>
      <c r="B121" s="4"/>
      <c r="C121" s="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39"/>
      <c r="AK121" s="39"/>
      <c r="AL121" s="39"/>
      <c r="AM121" s="39"/>
      <c r="AN121" s="39"/>
    </row>
    <row r="122" spans="1:40" x14ac:dyDescent="0.25">
      <c r="A122" s="4"/>
      <c r="B122" s="4"/>
      <c r="C122" s="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39"/>
      <c r="AK122" s="39"/>
      <c r="AL122" s="39"/>
      <c r="AM122" s="39"/>
      <c r="AN122" s="39"/>
    </row>
    <row r="123" spans="1:40" x14ac:dyDescent="0.25">
      <c r="A123" s="4"/>
      <c r="B123" s="4"/>
      <c r="C123" s="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39"/>
      <c r="AK123" s="39"/>
      <c r="AL123" s="39"/>
      <c r="AM123" s="39"/>
      <c r="AN123" s="39"/>
    </row>
    <row r="124" spans="1:40" x14ac:dyDescent="0.25">
      <c r="A124" s="4"/>
      <c r="B124" s="4"/>
      <c r="C124" s="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39"/>
      <c r="AK124" s="39"/>
      <c r="AL124" s="39"/>
      <c r="AM124" s="39"/>
      <c r="AN124" s="39"/>
    </row>
    <row r="125" spans="1:40" x14ac:dyDescent="0.25">
      <c r="A125" s="4"/>
      <c r="B125" s="4"/>
      <c r="C125" s="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39"/>
      <c r="AK125" s="39"/>
      <c r="AL125" s="39"/>
      <c r="AM125" s="39"/>
      <c r="AN125" s="39"/>
    </row>
    <row r="126" spans="1:40" x14ac:dyDescent="0.25">
      <c r="A126" s="4"/>
      <c r="B126" s="4"/>
      <c r="C126" s="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39"/>
      <c r="AK126" s="39"/>
      <c r="AL126" s="39"/>
      <c r="AM126" s="39"/>
      <c r="AN126" s="39"/>
    </row>
    <row r="127" spans="1:40" x14ac:dyDescent="0.25">
      <c r="A127" s="4"/>
      <c r="B127" s="4"/>
      <c r="C127" s="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39"/>
      <c r="AK127" s="39"/>
      <c r="AL127" s="39"/>
      <c r="AM127" s="39"/>
      <c r="AN127" s="39"/>
    </row>
    <row r="128" spans="1:40" x14ac:dyDescent="0.25">
      <c r="A128" s="4"/>
      <c r="B128" s="4"/>
      <c r="C128" s="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39"/>
      <c r="AK128" s="39"/>
      <c r="AL128" s="39"/>
      <c r="AM128" s="39"/>
      <c r="AN128" s="39"/>
    </row>
    <row r="129" spans="1:40" x14ac:dyDescent="0.25">
      <c r="A129" s="4"/>
      <c r="B129" s="4"/>
      <c r="C129" s="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39"/>
      <c r="AK129" s="39"/>
      <c r="AL129" s="39"/>
      <c r="AM129" s="39"/>
      <c r="AN129" s="39"/>
    </row>
    <row r="130" spans="1:40" x14ac:dyDescent="0.25">
      <c r="A130" s="4"/>
      <c r="B130" s="4"/>
      <c r="C130" s="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39"/>
      <c r="AK130" s="39"/>
      <c r="AL130" s="39"/>
      <c r="AM130" s="39"/>
      <c r="AN130" s="39"/>
    </row>
    <row r="131" spans="1:40" x14ac:dyDescent="0.25">
      <c r="A131" s="4"/>
      <c r="B131" s="4"/>
      <c r="C131" s="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39"/>
      <c r="AK131" s="39"/>
      <c r="AL131" s="39"/>
      <c r="AM131" s="39"/>
      <c r="AN131" s="39"/>
    </row>
    <row r="132" spans="1:40" x14ac:dyDescent="0.25">
      <c r="A132" s="4"/>
      <c r="B132" s="4"/>
      <c r="C132" s="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39"/>
      <c r="AK132" s="39"/>
      <c r="AL132" s="39"/>
      <c r="AM132" s="39"/>
      <c r="AN132" s="39"/>
    </row>
    <row r="133" spans="1:40" x14ac:dyDescent="0.25">
      <c r="A133" s="4"/>
      <c r="B133" s="4"/>
      <c r="C133" s="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39"/>
      <c r="AK133" s="39"/>
      <c r="AL133" s="39"/>
      <c r="AM133" s="39"/>
      <c r="AN133" s="39"/>
    </row>
    <row r="134" spans="1:40" x14ac:dyDescent="0.25">
      <c r="A134" s="4"/>
      <c r="B134" s="4"/>
      <c r="C134" s="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39"/>
      <c r="AK134" s="39"/>
      <c r="AL134" s="39"/>
      <c r="AM134" s="39"/>
      <c r="AN134" s="39"/>
    </row>
    <row r="135" spans="1:40" x14ac:dyDescent="0.25">
      <c r="A135" s="4"/>
      <c r="B135" s="4"/>
      <c r="C135" s="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39"/>
      <c r="AK135" s="39"/>
      <c r="AL135" s="39"/>
      <c r="AM135" s="39"/>
      <c r="AN135" s="39"/>
    </row>
    <row r="136" spans="1:40" x14ac:dyDescent="0.25">
      <c r="A136" s="4"/>
      <c r="B136" s="4"/>
      <c r="C136" s="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39"/>
      <c r="AK136" s="39"/>
      <c r="AL136" s="39"/>
      <c r="AM136" s="39"/>
      <c r="AN136" s="39"/>
    </row>
    <row r="137" spans="1:40" x14ac:dyDescent="0.25">
      <c r="A137" s="4"/>
      <c r="B137" s="4"/>
      <c r="C137" s="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39"/>
      <c r="AK137" s="39"/>
      <c r="AL137" s="39"/>
      <c r="AM137" s="39"/>
      <c r="AN137" s="39"/>
    </row>
    <row r="138" spans="1:40" x14ac:dyDescent="0.25">
      <c r="A138" s="4"/>
      <c r="B138" s="4"/>
      <c r="C138" s="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39"/>
      <c r="AK138" s="39"/>
      <c r="AL138" s="39"/>
      <c r="AM138" s="39"/>
      <c r="AN138" s="39"/>
    </row>
    <row r="139" spans="1:40" x14ac:dyDescent="0.25">
      <c r="A139" s="4"/>
      <c r="B139" s="4"/>
      <c r="C139" s="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39"/>
      <c r="AK139" s="39"/>
      <c r="AL139" s="39"/>
      <c r="AM139" s="39"/>
      <c r="AN139" s="39"/>
    </row>
    <row r="140" spans="1:40" x14ac:dyDescent="0.25">
      <c r="A140" s="4"/>
      <c r="B140" s="4"/>
      <c r="C140" s="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39"/>
      <c r="AK140" s="39"/>
      <c r="AL140" s="39"/>
      <c r="AM140" s="39"/>
      <c r="AN140" s="39"/>
    </row>
    <row r="141" spans="1:40" x14ac:dyDescent="0.25">
      <c r="A141" s="4"/>
      <c r="B141" s="4"/>
      <c r="C141" s="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39"/>
      <c r="AK141" s="39"/>
      <c r="AL141" s="39"/>
      <c r="AM141" s="39"/>
      <c r="AN141" s="39"/>
    </row>
    <row r="142" spans="1:40" x14ac:dyDescent="0.25">
      <c r="A142" s="4"/>
      <c r="B142" s="4"/>
      <c r="C142" s="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39"/>
      <c r="AK142" s="39"/>
      <c r="AL142" s="39"/>
      <c r="AM142" s="39"/>
      <c r="AN142" s="39"/>
    </row>
    <row r="143" spans="1:40" x14ac:dyDescent="0.25">
      <c r="A143" s="4"/>
      <c r="B143" s="4"/>
      <c r="C143" s="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39"/>
      <c r="AK143" s="39"/>
      <c r="AL143" s="39"/>
      <c r="AM143" s="39"/>
      <c r="AN143" s="39"/>
    </row>
    <row r="144" spans="1:40" x14ac:dyDescent="0.25">
      <c r="A144" s="4"/>
      <c r="B144" s="4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39"/>
      <c r="AK144" s="39"/>
      <c r="AL144" s="39"/>
      <c r="AM144" s="39"/>
      <c r="AN144" s="39"/>
    </row>
    <row r="145" spans="1:40" x14ac:dyDescent="0.25">
      <c r="A145" s="4"/>
      <c r="B145" s="4"/>
      <c r="C145" s="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39"/>
      <c r="AK145" s="39"/>
      <c r="AL145" s="39"/>
      <c r="AM145" s="39"/>
      <c r="AN145" s="39"/>
    </row>
    <row r="146" spans="1:40" x14ac:dyDescent="0.25">
      <c r="A146" s="4"/>
      <c r="B146" s="4"/>
      <c r="C146" s="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39"/>
      <c r="AK146" s="39"/>
      <c r="AL146" s="39"/>
      <c r="AM146" s="39"/>
      <c r="AN146" s="39"/>
    </row>
    <row r="147" spans="1:40" x14ac:dyDescent="0.25">
      <c r="A147" s="4"/>
      <c r="B147" s="4"/>
      <c r="C147" s="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39"/>
      <c r="AK147" s="39"/>
      <c r="AL147" s="39"/>
      <c r="AM147" s="39"/>
      <c r="AN147" s="39"/>
    </row>
    <row r="148" spans="1:40" x14ac:dyDescent="0.25">
      <c r="A148" s="4"/>
      <c r="B148" s="4"/>
      <c r="C148" s="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39"/>
      <c r="AK148" s="39"/>
      <c r="AL148" s="39"/>
      <c r="AM148" s="39"/>
      <c r="AN148" s="39"/>
    </row>
    <row r="149" spans="1:40" x14ac:dyDescent="0.25">
      <c r="A149" s="4"/>
      <c r="B149" s="4"/>
      <c r="C149" s="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39"/>
      <c r="AK149" s="39"/>
      <c r="AL149" s="39"/>
      <c r="AM149" s="39"/>
      <c r="AN149" s="39"/>
    </row>
    <row r="150" spans="1:40" x14ac:dyDescent="0.25">
      <c r="A150" s="4"/>
      <c r="B150" s="4"/>
      <c r="C150" s="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39"/>
      <c r="AK150" s="39"/>
      <c r="AL150" s="39"/>
      <c r="AM150" s="39"/>
      <c r="AN150" s="39"/>
    </row>
    <row r="151" spans="1:40" x14ac:dyDescent="0.25">
      <c r="A151" s="4"/>
      <c r="B151" s="4"/>
      <c r="C151" s="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39"/>
      <c r="AK151" s="39"/>
      <c r="AL151" s="39"/>
      <c r="AM151" s="39"/>
      <c r="AN151" s="39"/>
    </row>
    <row r="152" spans="1:40" x14ac:dyDescent="0.25">
      <c r="A152" s="4"/>
      <c r="B152" s="4"/>
      <c r="C152" s="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39"/>
      <c r="AK152" s="39"/>
      <c r="AL152" s="39"/>
      <c r="AM152" s="39"/>
      <c r="AN152" s="39"/>
    </row>
    <row r="153" spans="1:40" x14ac:dyDescent="0.25">
      <c r="A153" s="4"/>
      <c r="B153" s="4"/>
      <c r="C153" s="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39"/>
      <c r="AK153" s="39"/>
      <c r="AL153" s="39"/>
      <c r="AM153" s="39"/>
      <c r="AN153" s="39"/>
    </row>
    <row r="154" spans="1:40" x14ac:dyDescent="0.25">
      <c r="A154" s="4"/>
      <c r="B154" s="4"/>
      <c r="C154" s="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39"/>
      <c r="AK154" s="39"/>
      <c r="AL154" s="39"/>
      <c r="AM154" s="39"/>
      <c r="AN154" s="39"/>
    </row>
    <row r="155" spans="1:40" x14ac:dyDescent="0.25">
      <c r="A155" s="4"/>
      <c r="B155" s="4"/>
      <c r="C155" s="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39"/>
      <c r="AK155" s="39"/>
      <c r="AL155" s="39"/>
      <c r="AM155" s="39"/>
      <c r="AN155" s="39"/>
    </row>
    <row r="156" spans="1:40" x14ac:dyDescent="0.25">
      <c r="A156" s="4"/>
      <c r="B156" s="4"/>
      <c r="C156" s="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39"/>
      <c r="AK156" s="39"/>
      <c r="AL156" s="39"/>
      <c r="AM156" s="39"/>
      <c r="AN156" s="39"/>
    </row>
    <row r="157" spans="1:40" x14ac:dyDescent="0.25">
      <c r="A157" s="4"/>
      <c r="B157" s="4"/>
      <c r="C157" s="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39"/>
      <c r="AK157" s="39"/>
      <c r="AL157" s="39"/>
      <c r="AM157" s="39"/>
      <c r="AN157" s="39"/>
    </row>
    <row r="158" spans="1:40" x14ac:dyDescent="0.25">
      <c r="A158" s="4"/>
      <c r="B158" s="4"/>
      <c r="C158" s="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39"/>
      <c r="AK158" s="39"/>
      <c r="AL158" s="39"/>
      <c r="AM158" s="39"/>
      <c r="AN158" s="39"/>
    </row>
    <row r="159" spans="1:40" x14ac:dyDescent="0.25">
      <c r="A159" s="4"/>
      <c r="B159" s="4"/>
      <c r="C159" s="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39"/>
      <c r="AK159" s="39"/>
      <c r="AL159" s="39"/>
      <c r="AM159" s="39"/>
      <c r="AN159" s="39"/>
    </row>
    <row r="160" spans="1:40" x14ac:dyDescent="0.25">
      <c r="A160" s="4"/>
      <c r="B160" s="4"/>
      <c r="C160" s="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39"/>
      <c r="AK160" s="39"/>
      <c r="AL160" s="39"/>
      <c r="AM160" s="39"/>
      <c r="AN160" s="39"/>
    </row>
    <row r="161" spans="1:40" x14ac:dyDescent="0.25">
      <c r="A161" s="4"/>
      <c r="B161" s="4"/>
      <c r="C161" s="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39"/>
      <c r="AK161" s="39"/>
      <c r="AL161" s="39"/>
      <c r="AM161" s="39"/>
      <c r="AN161" s="39"/>
    </row>
    <row r="162" spans="1:40" x14ac:dyDescent="0.25">
      <c r="A162" s="4"/>
      <c r="B162" s="4"/>
      <c r="C162" s="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39"/>
      <c r="AK162" s="39"/>
      <c r="AL162" s="39"/>
      <c r="AM162" s="39"/>
      <c r="AN162" s="39"/>
    </row>
    <row r="163" spans="1:40" x14ac:dyDescent="0.25">
      <c r="A163" s="4"/>
      <c r="B163" s="4"/>
      <c r="C163" s="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39"/>
      <c r="AK163" s="39"/>
      <c r="AL163" s="39"/>
      <c r="AM163" s="39"/>
      <c r="AN163" s="39"/>
    </row>
    <row r="164" spans="1:40" x14ac:dyDescent="0.25">
      <c r="A164" s="4"/>
      <c r="B164" s="4"/>
      <c r="C164" s="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39"/>
      <c r="AK164" s="39"/>
      <c r="AL164" s="39"/>
      <c r="AM164" s="39"/>
      <c r="AN164" s="39"/>
    </row>
    <row r="165" spans="1:40" x14ac:dyDescent="0.25">
      <c r="A165" s="4"/>
      <c r="B165" s="4"/>
      <c r="C165" s="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39"/>
      <c r="AK165" s="39"/>
      <c r="AL165" s="39"/>
      <c r="AM165" s="39"/>
      <c r="AN165" s="39"/>
    </row>
    <row r="166" spans="1:40" x14ac:dyDescent="0.25">
      <c r="A166" s="4"/>
      <c r="B166" s="4"/>
      <c r="C166" s="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39"/>
      <c r="AK166" s="39"/>
      <c r="AL166" s="39"/>
      <c r="AM166" s="39"/>
      <c r="AN166" s="39"/>
    </row>
    <row r="167" spans="1:40" x14ac:dyDescent="0.25">
      <c r="A167" s="4"/>
      <c r="B167" s="4"/>
      <c r="C167" s="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39"/>
      <c r="AK167" s="39"/>
      <c r="AL167" s="39"/>
      <c r="AM167" s="39"/>
      <c r="AN167" s="39"/>
    </row>
    <row r="168" spans="1:40" x14ac:dyDescent="0.25">
      <c r="A168" s="4"/>
      <c r="B168" s="4"/>
      <c r="C168" s="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39"/>
      <c r="AK168" s="39"/>
      <c r="AL168" s="39"/>
      <c r="AM168" s="39"/>
      <c r="AN168" s="39"/>
    </row>
    <row r="169" spans="1:40" x14ac:dyDescent="0.25">
      <c r="A169" s="4"/>
      <c r="B169" s="4"/>
      <c r="C169" s="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39"/>
      <c r="AK169" s="39"/>
      <c r="AL169" s="39"/>
      <c r="AM169" s="39"/>
      <c r="AN169" s="39"/>
    </row>
    <row r="170" spans="1:40" x14ac:dyDescent="0.25">
      <c r="A170" s="4"/>
      <c r="B170" s="4"/>
      <c r="C170" s="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39"/>
      <c r="AK170" s="39"/>
      <c r="AL170" s="39"/>
      <c r="AM170" s="39"/>
      <c r="AN170" s="39"/>
    </row>
    <row r="171" spans="1:40" x14ac:dyDescent="0.25">
      <c r="A171" s="4"/>
      <c r="B171" s="4"/>
      <c r="C171" s="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39"/>
      <c r="AK171" s="39"/>
      <c r="AL171" s="39"/>
      <c r="AM171" s="39"/>
      <c r="AN171" s="39"/>
    </row>
    <row r="172" spans="1:40" x14ac:dyDescent="0.25">
      <c r="A172" s="4"/>
      <c r="B172" s="4"/>
      <c r="C172" s="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39"/>
      <c r="AK172" s="39"/>
      <c r="AL172" s="39"/>
      <c r="AM172" s="39"/>
      <c r="AN172" s="39"/>
    </row>
    <row r="173" spans="1:40" x14ac:dyDescent="0.25">
      <c r="A173" s="4"/>
      <c r="B173" s="4"/>
      <c r="C173" s="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39"/>
      <c r="AK173" s="39"/>
      <c r="AL173" s="39"/>
      <c r="AM173" s="39"/>
      <c r="AN173" s="39"/>
    </row>
    <row r="174" spans="1:40" x14ac:dyDescent="0.25">
      <c r="A174" s="4"/>
      <c r="B174" s="4"/>
      <c r="C174" s="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39"/>
      <c r="AK174" s="39"/>
      <c r="AL174" s="39"/>
      <c r="AM174" s="39"/>
      <c r="AN174" s="39"/>
    </row>
    <row r="175" spans="1:40" x14ac:dyDescent="0.25">
      <c r="A175" s="4"/>
      <c r="B175" s="4"/>
      <c r="C175" s="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39"/>
      <c r="AK175" s="39"/>
      <c r="AL175" s="39"/>
      <c r="AM175" s="39"/>
      <c r="AN175" s="39"/>
    </row>
    <row r="176" spans="1:40" x14ac:dyDescent="0.25">
      <c r="A176" s="4"/>
      <c r="B176" s="4"/>
      <c r="C176" s="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39"/>
      <c r="AK176" s="39"/>
      <c r="AL176" s="39"/>
      <c r="AM176" s="39"/>
      <c r="AN176" s="39"/>
    </row>
    <row r="177" spans="1:40" x14ac:dyDescent="0.25">
      <c r="A177" s="4"/>
      <c r="B177" s="4"/>
      <c r="C177" s="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39"/>
      <c r="AK177" s="39"/>
      <c r="AL177" s="39"/>
      <c r="AM177" s="39"/>
      <c r="AN177" s="39"/>
    </row>
    <row r="178" spans="1:40" x14ac:dyDescent="0.25">
      <c r="A178" s="4"/>
      <c r="B178" s="4"/>
      <c r="C178" s="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39"/>
      <c r="AK178" s="39"/>
      <c r="AL178" s="39"/>
      <c r="AM178" s="39"/>
      <c r="AN178" s="39"/>
    </row>
    <row r="179" spans="1:40" x14ac:dyDescent="0.25">
      <c r="A179" s="4"/>
      <c r="B179" s="4"/>
      <c r="C179" s="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39"/>
      <c r="AK179" s="39"/>
      <c r="AL179" s="39"/>
      <c r="AM179" s="39"/>
      <c r="AN179" s="39"/>
    </row>
    <row r="180" spans="1:40" x14ac:dyDescent="0.25">
      <c r="A180" s="4"/>
      <c r="B180" s="4"/>
      <c r="C180" s="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39"/>
      <c r="AK180" s="39"/>
      <c r="AL180" s="39"/>
      <c r="AM180" s="39"/>
      <c r="AN180" s="39"/>
    </row>
    <row r="181" spans="1:40" x14ac:dyDescent="0.25">
      <c r="A181" s="4"/>
      <c r="B181" s="4"/>
      <c r="C181" s="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39"/>
      <c r="AK181" s="39"/>
      <c r="AL181" s="39"/>
      <c r="AM181" s="39"/>
      <c r="AN181" s="39"/>
    </row>
    <row r="182" spans="1:40" x14ac:dyDescent="0.25">
      <c r="A182" s="4"/>
      <c r="B182" s="4"/>
      <c r="C182" s="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39"/>
      <c r="AK182" s="39"/>
      <c r="AL182" s="39"/>
      <c r="AM182" s="39"/>
      <c r="AN182" s="39"/>
    </row>
    <row r="183" spans="1:40" x14ac:dyDescent="0.25">
      <c r="A183" s="4"/>
      <c r="B183" s="4"/>
      <c r="C183" s="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39"/>
      <c r="AK183" s="39"/>
      <c r="AL183" s="39"/>
      <c r="AM183" s="39"/>
      <c r="AN183" s="39"/>
    </row>
    <row r="184" spans="1:40" x14ac:dyDescent="0.25">
      <c r="A184" s="4"/>
      <c r="B184" s="4"/>
      <c r="C184" s="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39"/>
      <c r="AK184" s="39"/>
      <c r="AL184" s="39"/>
      <c r="AM184" s="39"/>
      <c r="AN184" s="39"/>
    </row>
    <row r="185" spans="1:40" x14ac:dyDescent="0.25">
      <c r="A185" s="4"/>
      <c r="B185" s="4"/>
      <c r="C185" s="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39"/>
      <c r="AK185" s="39"/>
      <c r="AL185" s="39"/>
      <c r="AM185" s="39"/>
      <c r="AN185" s="39"/>
    </row>
    <row r="186" spans="1:40" x14ac:dyDescent="0.25">
      <c r="A186" s="4"/>
      <c r="B186" s="4"/>
      <c r="C186" s="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39"/>
      <c r="AK186" s="39"/>
      <c r="AL186" s="39"/>
      <c r="AM186" s="39"/>
      <c r="AN186" s="39"/>
    </row>
    <row r="187" spans="1:40" x14ac:dyDescent="0.25">
      <c r="A187" s="4"/>
      <c r="B187" s="4"/>
      <c r="C187" s="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39"/>
      <c r="AK187" s="39"/>
      <c r="AL187" s="39"/>
      <c r="AM187" s="39"/>
      <c r="AN187" s="39"/>
    </row>
    <row r="188" spans="1:40" x14ac:dyDescent="0.25">
      <c r="A188" s="4"/>
      <c r="B188" s="4"/>
      <c r="C188" s="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39"/>
      <c r="AK188" s="39"/>
      <c r="AL188" s="39"/>
      <c r="AM188" s="39"/>
      <c r="AN188" s="39"/>
    </row>
    <row r="189" spans="1:40" x14ac:dyDescent="0.25">
      <c r="A189" s="4"/>
      <c r="B189" s="4"/>
      <c r="C189" s="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39"/>
      <c r="AK189" s="39"/>
      <c r="AL189" s="39"/>
      <c r="AM189" s="39"/>
      <c r="AN189" s="39"/>
    </row>
    <row r="190" spans="1:40" x14ac:dyDescent="0.25">
      <c r="A190" s="4"/>
      <c r="B190" s="4"/>
      <c r="C190" s="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39"/>
      <c r="AK190" s="39"/>
      <c r="AL190" s="39"/>
      <c r="AM190" s="39"/>
      <c r="AN190" s="39"/>
    </row>
    <row r="191" spans="1:40" x14ac:dyDescent="0.25">
      <c r="A191" s="4"/>
      <c r="B191" s="4"/>
      <c r="C191" s="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39"/>
      <c r="AK191" s="39"/>
      <c r="AL191" s="39"/>
      <c r="AM191" s="39"/>
      <c r="AN191" s="39"/>
    </row>
    <row r="192" spans="1:40" x14ac:dyDescent="0.25">
      <c r="A192" s="4"/>
      <c r="B192" s="4"/>
      <c r="C192" s="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39"/>
      <c r="AK192" s="39"/>
      <c r="AL192" s="39"/>
      <c r="AM192" s="39"/>
      <c r="AN192" s="39"/>
    </row>
    <row r="193" spans="1:40" x14ac:dyDescent="0.25">
      <c r="A193" s="4"/>
      <c r="B193" s="4"/>
      <c r="C193" s="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39"/>
      <c r="AK193" s="39"/>
      <c r="AL193" s="39"/>
      <c r="AM193" s="39"/>
      <c r="AN193" s="39"/>
    </row>
    <row r="194" spans="1:40" x14ac:dyDescent="0.25">
      <c r="A194" s="4"/>
      <c r="B194" s="4"/>
      <c r="C194" s="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39"/>
      <c r="AK194" s="39"/>
      <c r="AL194" s="39"/>
      <c r="AM194" s="39"/>
      <c r="AN194" s="39"/>
    </row>
    <row r="195" spans="1:40" x14ac:dyDescent="0.25">
      <c r="A195" s="4"/>
      <c r="B195" s="4"/>
      <c r="C195" s="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39"/>
      <c r="AK195" s="39"/>
      <c r="AL195" s="39"/>
      <c r="AM195" s="39"/>
      <c r="AN195" s="39"/>
    </row>
    <row r="196" spans="1:40" x14ac:dyDescent="0.25">
      <c r="A196" s="4"/>
      <c r="B196" s="4"/>
      <c r="C196" s="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39"/>
      <c r="AK196" s="39"/>
      <c r="AL196" s="39"/>
      <c r="AM196" s="39"/>
      <c r="AN196" s="39"/>
    </row>
    <row r="197" spans="1:40" x14ac:dyDescent="0.25">
      <c r="A197" s="4"/>
      <c r="B197" s="4"/>
      <c r="C197" s="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39"/>
      <c r="AK197" s="39"/>
      <c r="AL197" s="39"/>
      <c r="AM197" s="39"/>
      <c r="AN197" s="39"/>
    </row>
    <row r="198" spans="1:40" x14ac:dyDescent="0.25">
      <c r="A198" s="4"/>
      <c r="B198" s="4"/>
      <c r="C198" s="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39"/>
      <c r="AK198" s="39"/>
      <c r="AL198" s="39"/>
      <c r="AM198" s="39"/>
      <c r="AN198" s="39"/>
    </row>
    <row r="199" spans="1:40" x14ac:dyDescent="0.25">
      <c r="A199" s="4"/>
      <c r="B199" s="4"/>
      <c r="C199" s="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39"/>
      <c r="AK199" s="39"/>
      <c r="AL199" s="39"/>
      <c r="AM199" s="39"/>
      <c r="AN199" s="39"/>
    </row>
    <row r="200" spans="1:40" x14ac:dyDescent="0.25">
      <c r="A200" s="4"/>
      <c r="B200" s="4"/>
      <c r="C200" s="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39"/>
      <c r="AK200" s="39"/>
      <c r="AL200" s="39"/>
      <c r="AM200" s="39"/>
      <c r="AN200" s="39"/>
    </row>
    <row r="201" spans="1:40" x14ac:dyDescent="0.25">
      <c r="A201" s="4"/>
      <c r="B201" s="4"/>
      <c r="C201" s="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39"/>
      <c r="AK201" s="39"/>
      <c r="AL201" s="39"/>
      <c r="AM201" s="39"/>
      <c r="AN201" s="39"/>
    </row>
    <row r="202" spans="1:40" x14ac:dyDescent="0.25">
      <c r="A202" s="4"/>
      <c r="B202" s="4"/>
      <c r="C202" s="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39"/>
      <c r="AK202" s="39"/>
      <c r="AL202" s="39"/>
      <c r="AM202" s="39"/>
      <c r="AN202" s="39"/>
    </row>
    <row r="203" spans="1:40" x14ac:dyDescent="0.25">
      <c r="A203" s="4"/>
      <c r="B203" s="4"/>
      <c r="C203" s="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39"/>
      <c r="AK203" s="39"/>
      <c r="AL203" s="39"/>
      <c r="AM203" s="39"/>
      <c r="AN203" s="39"/>
    </row>
    <row r="204" spans="1:40" x14ac:dyDescent="0.25">
      <c r="A204" s="4"/>
      <c r="B204" s="4"/>
      <c r="C204" s="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39"/>
      <c r="AK204" s="39"/>
      <c r="AL204" s="39"/>
      <c r="AM204" s="39"/>
      <c r="AN204" s="39"/>
    </row>
    <row r="205" spans="1:40" x14ac:dyDescent="0.25">
      <c r="A205" s="4"/>
      <c r="B205" s="4"/>
      <c r="C205" s="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39"/>
      <c r="AK205" s="39"/>
      <c r="AL205" s="39"/>
      <c r="AM205" s="39"/>
      <c r="AN205" s="39"/>
    </row>
    <row r="206" spans="1:40" x14ac:dyDescent="0.25">
      <c r="A206" s="4"/>
      <c r="B206" s="4"/>
      <c r="C206" s="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39"/>
      <c r="AK206" s="39"/>
      <c r="AL206" s="39"/>
      <c r="AM206" s="39"/>
      <c r="AN206" s="39"/>
    </row>
    <row r="207" spans="1:40" x14ac:dyDescent="0.25">
      <c r="A207" s="4"/>
      <c r="B207" s="4"/>
      <c r="C207" s="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39"/>
      <c r="AK207" s="39"/>
      <c r="AL207" s="39"/>
      <c r="AM207" s="39"/>
      <c r="AN207" s="39"/>
    </row>
    <row r="208" spans="1:40" x14ac:dyDescent="0.25">
      <c r="A208" s="4"/>
      <c r="B208" s="4"/>
      <c r="C208" s="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39"/>
      <c r="AK208" s="39"/>
      <c r="AL208" s="39"/>
      <c r="AM208" s="39"/>
      <c r="AN208" s="39"/>
    </row>
    <row r="209" spans="1:40" x14ac:dyDescent="0.25">
      <c r="A209" s="4"/>
      <c r="B209" s="4"/>
      <c r="C209" s="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39"/>
      <c r="AK209" s="39"/>
      <c r="AL209" s="39"/>
      <c r="AM209" s="39"/>
      <c r="AN209" s="39"/>
    </row>
    <row r="210" spans="1:40" x14ac:dyDescent="0.25">
      <c r="A210" s="4"/>
      <c r="B210" s="4"/>
      <c r="C210" s="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39"/>
      <c r="AK210" s="39"/>
      <c r="AL210" s="39"/>
      <c r="AM210" s="39"/>
      <c r="AN210" s="39"/>
    </row>
    <row r="211" spans="1:40" x14ac:dyDescent="0.25">
      <c r="A211" s="4"/>
      <c r="B211" s="4"/>
      <c r="C211" s="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39"/>
      <c r="AK211" s="39"/>
      <c r="AL211" s="39"/>
      <c r="AM211" s="39"/>
      <c r="AN211" s="39"/>
    </row>
    <row r="212" spans="1:40" x14ac:dyDescent="0.25">
      <c r="A212" s="4"/>
      <c r="B212" s="4"/>
      <c r="C212" s="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39"/>
      <c r="AK212" s="39"/>
      <c r="AL212" s="39"/>
      <c r="AM212" s="39"/>
      <c r="AN212" s="39"/>
    </row>
    <row r="213" spans="1:40" x14ac:dyDescent="0.25">
      <c r="A213" s="4"/>
      <c r="B213" s="4"/>
      <c r="C213" s="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39"/>
      <c r="AK213" s="39"/>
      <c r="AL213" s="39"/>
      <c r="AM213" s="39"/>
      <c r="AN213" s="39"/>
    </row>
    <row r="214" spans="1:40" x14ac:dyDescent="0.25">
      <c r="A214" s="4"/>
      <c r="B214" s="4"/>
      <c r="C214" s="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39"/>
      <c r="AK214" s="39"/>
      <c r="AL214" s="39"/>
      <c r="AM214" s="39"/>
      <c r="AN214" s="39"/>
    </row>
    <row r="215" spans="1:40" x14ac:dyDescent="0.25">
      <c r="A215" s="4"/>
      <c r="B215" s="4"/>
      <c r="C215" s="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39"/>
      <c r="AK215" s="39"/>
      <c r="AL215" s="39"/>
      <c r="AM215" s="39"/>
      <c r="AN215" s="39"/>
    </row>
    <row r="216" spans="1:40" x14ac:dyDescent="0.25">
      <c r="A216" s="4"/>
      <c r="B216" s="4"/>
      <c r="C216" s="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39"/>
      <c r="AK216" s="39"/>
      <c r="AL216" s="39"/>
      <c r="AM216" s="39"/>
      <c r="AN216" s="39"/>
    </row>
    <row r="217" spans="1:40" x14ac:dyDescent="0.25">
      <c r="A217" s="4"/>
      <c r="B217" s="4"/>
      <c r="C217" s="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39"/>
      <c r="AK217" s="39"/>
      <c r="AL217" s="39"/>
      <c r="AM217" s="39"/>
      <c r="AN217" s="39"/>
    </row>
    <row r="218" spans="1:40" x14ac:dyDescent="0.25">
      <c r="A218" s="4"/>
      <c r="B218" s="4"/>
      <c r="C218" s="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39"/>
      <c r="AK218" s="39"/>
      <c r="AL218" s="39"/>
      <c r="AM218" s="39"/>
      <c r="AN218" s="39"/>
    </row>
    <row r="219" spans="1:40" x14ac:dyDescent="0.25">
      <c r="A219" s="4"/>
      <c r="B219" s="4"/>
      <c r="C219" s="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39"/>
      <c r="AK219" s="39"/>
      <c r="AL219" s="39"/>
      <c r="AM219" s="39"/>
      <c r="AN219" s="39"/>
    </row>
    <row r="220" spans="1:40" x14ac:dyDescent="0.25">
      <c r="A220" s="4"/>
      <c r="B220" s="4"/>
      <c r="C220" s="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39"/>
      <c r="AK220" s="39"/>
      <c r="AL220" s="39"/>
      <c r="AM220" s="39"/>
      <c r="AN220" s="39"/>
    </row>
    <row r="221" spans="1:40" x14ac:dyDescent="0.25">
      <c r="A221" s="4"/>
      <c r="B221" s="4"/>
      <c r="C221" s="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39"/>
      <c r="AK221" s="39"/>
      <c r="AL221" s="39"/>
      <c r="AM221" s="39"/>
      <c r="AN221" s="39"/>
    </row>
    <row r="222" spans="1:40" x14ac:dyDescent="0.25">
      <c r="A222" s="4"/>
      <c r="B222" s="4"/>
      <c r="C222" s="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39"/>
      <c r="AK222" s="39"/>
      <c r="AL222" s="39"/>
      <c r="AM222" s="39"/>
      <c r="AN222" s="39"/>
    </row>
    <row r="223" spans="1:40" x14ac:dyDescent="0.25">
      <c r="A223" s="4"/>
      <c r="B223" s="4"/>
      <c r="C223" s="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39"/>
      <c r="AK223" s="39"/>
      <c r="AL223" s="39"/>
      <c r="AM223" s="39"/>
      <c r="AN223" s="39"/>
    </row>
    <row r="224" spans="1:40" x14ac:dyDescent="0.25">
      <c r="A224" s="4"/>
      <c r="B224" s="4"/>
      <c r="C224" s="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39"/>
      <c r="AK224" s="39"/>
      <c r="AL224" s="39"/>
      <c r="AM224" s="39"/>
      <c r="AN224" s="39"/>
    </row>
    <row r="225" spans="1:40" x14ac:dyDescent="0.25">
      <c r="A225" s="4"/>
      <c r="B225" s="4"/>
      <c r="C225" s="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39"/>
      <c r="AK225" s="39"/>
      <c r="AL225" s="39"/>
      <c r="AM225" s="39"/>
      <c r="AN225" s="39"/>
    </row>
    <row r="226" spans="1:40" x14ac:dyDescent="0.25">
      <c r="A226" s="4"/>
      <c r="B226" s="4"/>
      <c r="C226" s="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39"/>
      <c r="AK226" s="39"/>
      <c r="AL226" s="39"/>
      <c r="AM226" s="39"/>
      <c r="AN226" s="39"/>
    </row>
    <row r="227" spans="1:40" x14ac:dyDescent="0.25">
      <c r="A227" s="4"/>
      <c r="B227" s="4"/>
      <c r="C227" s="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39"/>
      <c r="AK227" s="39"/>
      <c r="AL227" s="39"/>
      <c r="AM227" s="39"/>
      <c r="AN227" s="39"/>
    </row>
    <row r="228" spans="1:40" x14ac:dyDescent="0.25">
      <c r="A228" s="4"/>
      <c r="B228" s="4"/>
      <c r="C228" s="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39"/>
      <c r="AK228" s="39"/>
      <c r="AL228" s="39"/>
      <c r="AM228" s="39"/>
      <c r="AN228" s="39"/>
    </row>
    <row r="229" spans="1:40" x14ac:dyDescent="0.25">
      <c r="A229" s="4"/>
      <c r="B229" s="4"/>
      <c r="C229" s="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39"/>
      <c r="AK229" s="39"/>
      <c r="AL229" s="39"/>
      <c r="AM229" s="39"/>
      <c r="AN229" s="39"/>
    </row>
    <row r="230" spans="1:40" x14ac:dyDescent="0.25">
      <c r="A230" s="4"/>
      <c r="B230" s="4"/>
      <c r="C230" s="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39"/>
      <c r="AK230" s="39"/>
      <c r="AL230" s="39"/>
      <c r="AM230" s="39"/>
      <c r="AN230" s="39"/>
    </row>
    <row r="231" spans="1:40" x14ac:dyDescent="0.25">
      <c r="A231" s="4"/>
      <c r="B231" s="4"/>
      <c r="C231" s="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39"/>
      <c r="AK231" s="39"/>
      <c r="AL231" s="39"/>
      <c r="AM231" s="39"/>
      <c r="AN231" s="39"/>
    </row>
    <row r="232" spans="1:40" x14ac:dyDescent="0.25">
      <c r="A232" s="4"/>
      <c r="B232" s="4"/>
      <c r="C232" s="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39"/>
      <c r="AK232" s="39"/>
      <c r="AL232" s="39"/>
      <c r="AM232" s="39"/>
      <c r="AN232" s="39"/>
    </row>
    <row r="233" spans="1:40" x14ac:dyDescent="0.25">
      <c r="A233" s="4"/>
      <c r="B233" s="4"/>
      <c r="C233" s="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39"/>
      <c r="AK233" s="39"/>
      <c r="AL233" s="39"/>
      <c r="AM233" s="39"/>
      <c r="AN233" s="39"/>
    </row>
    <row r="234" spans="1:40" x14ac:dyDescent="0.25">
      <c r="C234" s="9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40" x14ac:dyDescent="0.25">
      <c r="C235" s="9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1:40" x14ac:dyDescent="0.25">
      <c r="C236" s="9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40" x14ac:dyDescent="0.25">
      <c r="C237" s="9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40" x14ac:dyDescent="0.25">
      <c r="C238" s="9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40" x14ac:dyDescent="0.25">
      <c r="C239" s="9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40" x14ac:dyDescent="0.25">
      <c r="C240" s="9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41" s="40" customFormat="1" x14ac:dyDescent="0.25">
      <c r="A241" s="1"/>
      <c r="B241" s="1"/>
      <c r="C241" s="9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O241"/>
    </row>
    <row r="242" spans="1:41" s="40" customFormat="1" x14ac:dyDescent="0.25">
      <c r="A242" s="1"/>
      <c r="B242" s="1"/>
      <c r="C242" s="9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O242"/>
    </row>
    <row r="243" spans="1:41" s="40" customFormat="1" x14ac:dyDescent="0.25">
      <c r="A243" s="1"/>
      <c r="B243" s="1"/>
      <c r="C243" s="9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O243"/>
    </row>
    <row r="244" spans="1:41" s="40" customFormat="1" x14ac:dyDescent="0.25">
      <c r="A244" s="1"/>
      <c r="B244" s="1"/>
      <c r="C244" s="9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O244"/>
    </row>
    <row r="245" spans="1:41" s="40" customFormat="1" x14ac:dyDescent="0.25">
      <c r="A245" s="1"/>
      <c r="B245" s="1"/>
      <c r="C245" s="9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O245"/>
    </row>
    <row r="246" spans="1:41" s="40" customFormat="1" x14ac:dyDescent="0.25">
      <c r="A246" s="1"/>
      <c r="B246" s="1"/>
      <c r="C246" s="9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O246"/>
    </row>
    <row r="247" spans="1:41" s="40" customFormat="1" x14ac:dyDescent="0.25">
      <c r="A247" s="1"/>
      <c r="B247" s="1"/>
      <c r="C247" s="9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O247"/>
    </row>
    <row r="248" spans="1:41" s="40" customFormat="1" x14ac:dyDescent="0.25">
      <c r="A248" s="1"/>
      <c r="B248" s="1"/>
      <c r="C248" s="9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O248"/>
    </row>
    <row r="249" spans="1:41" s="40" customFormat="1" x14ac:dyDescent="0.25">
      <c r="A249" s="1"/>
      <c r="B249" s="1"/>
      <c r="C249" s="9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O249"/>
    </row>
    <row r="250" spans="1:41" s="40" customFormat="1" x14ac:dyDescent="0.25">
      <c r="A250" s="1"/>
      <c r="B250" s="1"/>
      <c r="C250" s="9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O250"/>
    </row>
    <row r="251" spans="1:41" s="40" customFormat="1" x14ac:dyDescent="0.25">
      <c r="A251" s="1"/>
      <c r="B251" s="1"/>
      <c r="C251" s="9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O251"/>
    </row>
    <row r="252" spans="1:41" s="40" customFormat="1" x14ac:dyDescent="0.25">
      <c r="A252" s="1"/>
      <c r="B252" s="1"/>
      <c r="C252" s="9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O252"/>
    </row>
    <row r="253" spans="1:41" s="40" customFormat="1" x14ac:dyDescent="0.25">
      <c r="A253" s="1"/>
      <c r="B253" s="1"/>
      <c r="C253" s="9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O253"/>
    </row>
    <row r="254" spans="1:41" s="40" customFormat="1" x14ac:dyDescent="0.25">
      <c r="A254" s="1"/>
      <c r="B254" s="1"/>
      <c r="C254" s="9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O254"/>
    </row>
    <row r="255" spans="1:41" s="40" customFormat="1" x14ac:dyDescent="0.25">
      <c r="A255" s="1"/>
      <c r="B255" s="1"/>
      <c r="C255" s="9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O255"/>
    </row>
    <row r="256" spans="1:41" s="40" customFormat="1" x14ac:dyDescent="0.25">
      <c r="A256" s="1"/>
      <c r="B256" s="1"/>
      <c r="C256" s="9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O256"/>
    </row>
    <row r="257" spans="1:41" s="40" customFormat="1" x14ac:dyDescent="0.25">
      <c r="A257" s="1"/>
      <c r="B257" s="1"/>
      <c r="C257" s="9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O257"/>
    </row>
    <row r="258" spans="1:41" s="40" customFormat="1" x14ac:dyDescent="0.25">
      <c r="A258" s="1"/>
      <c r="B258" s="1"/>
      <c r="C258" s="9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O258"/>
    </row>
    <row r="259" spans="1:41" s="40" customFormat="1" x14ac:dyDescent="0.25">
      <c r="A259" s="1"/>
      <c r="B259" s="1"/>
      <c r="C259" s="9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O259"/>
    </row>
    <row r="260" spans="1:41" s="40" customFormat="1" x14ac:dyDescent="0.25">
      <c r="A260" s="1"/>
      <c r="B260" s="1"/>
      <c r="C260" s="9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O260"/>
    </row>
    <row r="261" spans="1:41" s="40" customFormat="1" x14ac:dyDescent="0.25">
      <c r="A261" s="1"/>
      <c r="B261" s="1"/>
      <c r="C261" s="9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O261"/>
    </row>
    <row r="262" spans="1:41" s="40" customFormat="1" x14ac:dyDescent="0.25">
      <c r="A262" s="1"/>
      <c r="B262" s="1"/>
      <c r="C262" s="9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O262"/>
    </row>
    <row r="263" spans="1:41" s="40" customFormat="1" x14ac:dyDescent="0.25">
      <c r="A263" s="1"/>
      <c r="B263" s="1"/>
      <c r="C263" s="9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O263"/>
    </row>
    <row r="264" spans="1:41" s="40" customFormat="1" x14ac:dyDescent="0.25">
      <c r="A264" s="1"/>
      <c r="B264" s="1"/>
      <c r="C264" s="9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O264"/>
    </row>
    <row r="265" spans="1:41" s="40" customFormat="1" x14ac:dyDescent="0.25">
      <c r="A265" s="1"/>
      <c r="B265" s="1"/>
      <c r="C265" s="9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O265"/>
    </row>
    <row r="266" spans="1:41" s="40" customFormat="1" x14ac:dyDescent="0.25">
      <c r="A266" s="1"/>
      <c r="B266" s="1"/>
      <c r="C266" s="9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O266"/>
    </row>
    <row r="267" spans="1:41" s="40" customFormat="1" x14ac:dyDescent="0.25">
      <c r="A267" s="1"/>
      <c r="B267" s="1"/>
      <c r="C267" s="9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O267"/>
    </row>
    <row r="268" spans="1:41" s="40" customFormat="1" x14ac:dyDescent="0.25">
      <c r="A268" s="1"/>
      <c r="B268" s="1"/>
      <c r="C268" s="9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O268"/>
    </row>
    <row r="269" spans="1:41" s="40" customFormat="1" x14ac:dyDescent="0.25">
      <c r="A269" s="1"/>
      <c r="B269" s="1"/>
      <c r="C269" s="9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O269"/>
    </row>
    <row r="270" spans="1:41" s="40" customFormat="1" x14ac:dyDescent="0.25">
      <c r="A270" s="1"/>
      <c r="B270" s="1"/>
      <c r="C270" s="9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O270"/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</hyperlinks>
  <pageMargins left="0.511811024" right="0.511811024" top="0.78740157499999996" bottom="0.78740157499999996" header="0.31496062000000002" footer="0.31496062000000002"/>
  <pageSetup paperSize="119" orientation="portrait" r:id="rId7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6"/>
  <sheetViews>
    <sheetView topLeftCell="E1" zoomScale="63" zoomScaleNormal="63" workbookViewId="0">
      <pane ySplit="1" topLeftCell="A13" activePane="bottomLeft" state="frozen"/>
      <selection pane="bottomLeft" activeCell="X72" sqref="X72"/>
    </sheetView>
  </sheetViews>
  <sheetFormatPr defaultRowHeight="15" x14ac:dyDescent="0.25"/>
  <cols>
    <col min="1" max="1" width="27.7109375" style="1" customWidth="1"/>
    <col min="2" max="3" width="22.28515625" customWidth="1"/>
    <col min="4" max="4" width="21.28515625" customWidth="1"/>
    <col min="5" max="6" width="21.140625" customWidth="1"/>
    <col min="7" max="7" width="13.85546875" customWidth="1"/>
    <col min="8" max="8" width="15.42578125" customWidth="1"/>
    <col min="9" max="9" width="14.5703125" customWidth="1"/>
    <col min="11" max="11" width="14.85546875" style="40" bestFit="1" customWidth="1"/>
    <col min="12" max="12" width="14.42578125" style="40" bestFit="1" customWidth="1"/>
    <col min="13" max="13" width="27.7109375" style="40" bestFit="1" customWidth="1"/>
    <col min="14" max="14" width="11.42578125" style="40" bestFit="1" customWidth="1"/>
    <col min="15" max="15" width="26.28515625" style="40" bestFit="1" customWidth="1"/>
    <col min="19" max="19" width="16.85546875" bestFit="1" customWidth="1"/>
    <col min="20" max="22" width="11.7109375" bestFit="1" customWidth="1"/>
  </cols>
  <sheetData>
    <row r="1" spans="1:15" s="3" customFormat="1" ht="235.9" customHeight="1" x14ac:dyDescent="0.25">
      <c r="A1" s="6" t="s">
        <v>12</v>
      </c>
      <c r="B1" s="2" t="s">
        <v>343</v>
      </c>
      <c r="C1" s="2" t="s">
        <v>344</v>
      </c>
      <c r="D1" s="2" t="s">
        <v>345</v>
      </c>
      <c r="E1" s="2" t="s">
        <v>346</v>
      </c>
      <c r="F1" s="46"/>
      <c r="G1" s="3" t="s">
        <v>365</v>
      </c>
      <c r="H1" s="3" t="s">
        <v>366</v>
      </c>
      <c r="I1" s="3" t="s">
        <v>367</v>
      </c>
      <c r="J1" s="3" t="s">
        <v>368</v>
      </c>
      <c r="K1" s="37" t="s">
        <v>15</v>
      </c>
      <c r="L1" s="37" t="s">
        <v>16</v>
      </c>
      <c r="M1" s="38" t="s">
        <v>359</v>
      </c>
      <c r="N1" s="37" t="s">
        <v>3</v>
      </c>
      <c r="O1" s="37" t="s">
        <v>4</v>
      </c>
    </row>
    <row r="2" spans="1:15" s="22" customFormat="1" x14ac:dyDescent="0.25">
      <c r="A2" s="18" t="s">
        <v>6</v>
      </c>
      <c r="B2" s="21">
        <f>15269906+213422+5915048+92109+51322+98346</f>
        <v>21640153</v>
      </c>
      <c r="C2" s="21">
        <f>20109509+5075248+96983+225912+186784+84496</f>
        <v>25778932</v>
      </c>
      <c r="D2" s="21">
        <f>20815958+3030+6258367+102737+361344+338241+53236</f>
        <v>27932913</v>
      </c>
      <c r="E2" s="21">
        <f>26586126+13179+9743488+155600+1822775+278296+1115558</f>
        <v>39715022</v>
      </c>
      <c r="F2" s="50"/>
      <c r="G2" s="51">
        <f t="shared" ref="G2:G33" si="0">((C2/B2)-1)</f>
        <v>0.19125460896695134</v>
      </c>
      <c r="H2" s="51">
        <f t="shared" ref="H2:H33" si="1">((D2/C2)-1)</f>
        <v>8.355586647266855E-2</v>
      </c>
      <c r="I2" s="51">
        <f t="shared" ref="I2:I33" si="2">((E2/D2)-1)</f>
        <v>0.42180022541866657</v>
      </c>
      <c r="J2" s="51">
        <f>AVERAGE(G2:I2)</f>
        <v>0.23220356695276215</v>
      </c>
      <c r="K2" s="52">
        <v>1959</v>
      </c>
      <c r="L2" s="52">
        <f>2021-K2</f>
        <v>62</v>
      </c>
      <c r="M2" s="52">
        <v>1</v>
      </c>
      <c r="N2" s="52">
        <v>1</v>
      </c>
      <c r="O2" s="52" t="s">
        <v>8</v>
      </c>
    </row>
    <row r="3" spans="1:15" s="22" customFormat="1" x14ac:dyDescent="0.25">
      <c r="A3" s="18" t="s">
        <v>14</v>
      </c>
      <c r="B3" s="21">
        <f>46042024+107131+476160</f>
        <v>46625315</v>
      </c>
      <c r="C3" s="21">
        <f>43906640+71165+216217</f>
        <v>44194022</v>
      </c>
      <c r="D3" s="21">
        <f>66864317+95318+78623</f>
        <v>67038258</v>
      </c>
      <c r="E3" s="21">
        <f>76886926+110834</f>
        <v>76997760</v>
      </c>
      <c r="F3" s="50"/>
      <c r="G3" s="51">
        <f t="shared" si="0"/>
        <v>-5.2145342074364498E-2</v>
      </c>
      <c r="H3" s="51">
        <f t="shared" si="1"/>
        <v>0.51690782975127259</v>
      </c>
      <c r="I3" s="51">
        <f t="shared" si="2"/>
        <v>0.14856445106315253</v>
      </c>
      <c r="J3" s="51">
        <f t="shared" ref="J3:J66" si="3">AVERAGE(G3:I3)</f>
        <v>0.20444231291335355</v>
      </c>
      <c r="K3" s="52">
        <v>1975</v>
      </c>
      <c r="L3" s="52">
        <f t="shared" ref="L3:L66" si="4">2021-K3</f>
        <v>46</v>
      </c>
      <c r="M3" s="52">
        <v>1</v>
      </c>
      <c r="N3" s="52">
        <v>1</v>
      </c>
      <c r="O3" s="52" t="s">
        <v>17</v>
      </c>
    </row>
    <row r="4" spans="1:15" s="15" customFormat="1" x14ac:dyDescent="0.25">
      <c r="A4" s="11" t="s">
        <v>25</v>
      </c>
      <c r="B4" s="14">
        <f>2598916+154946+89118</f>
        <v>2842980</v>
      </c>
      <c r="C4" s="14">
        <f>2546210+13673+57457</f>
        <v>2617340</v>
      </c>
      <c r="D4" s="14">
        <f>2899072+43946</f>
        <v>2943018</v>
      </c>
      <c r="E4" s="14">
        <f>1581079+14358</f>
        <v>1595437</v>
      </c>
      <c r="F4" s="47"/>
      <c r="G4" s="45">
        <f t="shared" si="0"/>
        <v>-7.9367424322365987E-2</v>
      </c>
      <c r="H4" s="45">
        <f t="shared" si="1"/>
        <v>0.12443091077200519</v>
      </c>
      <c r="I4" s="45">
        <f t="shared" si="2"/>
        <v>-0.45789084538388825</v>
      </c>
      <c r="J4" s="45">
        <f t="shared" si="3"/>
        <v>-0.13760911964474967</v>
      </c>
      <c r="K4" s="39">
        <v>2002</v>
      </c>
      <c r="L4" s="39">
        <f t="shared" si="4"/>
        <v>19</v>
      </c>
      <c r="M4" s="39">
        <v>3</v>
      </c>
      <c r="N4" s="39">
        <v>1</v>
      </c>
      <c r="O4" s="39" t="s">
        <v>5</v>
      </c>
    </row>
    <row r="5" spans="1:15" s="15" customFormat="1" ht="43.15" customHeight="1" x14ac:dyDescent="0.25">
      <c r="A5" s="11" t="s">
        <v>27</v>
      </c>
      <c r="B5" s="14">
        <f>13856+8953</f>
        <v>22809</v>
      </c>
      <c r="C5" s="14">
        <f>12750+7969</f>
        <v>20719</v>
      </c>
      <c r="D5" s="14">
        <f>11294+9923</f>
        <v>21217</v>
      </c>
      <c r="E5" s="14">
        <f>13356+5268</f>
        <v>18624</v>
      </c>
      <c r="F5" s="47"/>
      <c r="G5" s="45">
        <f t="shared" si="0"/>
        <v>-9.1630496733745459E-2</v>
      </c>
      <c r="H5" s="45">
        <f t="shared" si="1"/>
        <v>2.4035909068970573E-2</v>
      </c>
      <c r="I5" s="45">
        <f t="shared" si="2"/>
        <v>-0.12221331950794179</v>
      </c>
      <c r="J5" s="45">
        <f t="shared" si="3"/>
        <v>-6.3269302390905557E-2</v>
      </c>
      <c r="K5" s="39">
        <v>1986</v>
      </c>
      <c r="L5" s="39">
        <f t="shared" si="4"/>
        <v>35</v>
      </c>
      <c r="M5" s="39">
        <v>4</v>
      </c>
      <c r="N5" s="53">
        <v>2</v>
      </c>
      <c r="O5" s="39" t="s">
        <v>5</v>
      </c>
    </row>
    <row r="6" spans="1:15" s="22" customFormat="1" ht="30" x14ac:dyDescent="0.25">
      <c r="A6" s="18" t="s">
        <v>29</v>
      </c>
      <c r="B6" s="21">
        <f>621054.58+436319.5</f>
        <v>1057374.08</v>
      </c>
      <c r="C6" s="21">
        <v>1617713.15</v>
      </c>
      <c r="D6" s="21">
        <v>2004589.11</v>
      </c>
      <c r="E6" s="21">
        <v>1779549.14</v>
      </c>
      <c r="F6" s="50"/>
      <c r="G6" s="51">
        <f t="shared" si="0"/>
        <v>0.52993456204260259</v>
      </c>
      <c r="H6" s="51">
        <f t="shared" si="1"/>
        <v>0.23914991356780413</v>
      </c>
      <c r="I6" s="51">
        <f t="shared" si="2"/>
        <v>-0.11226239276536831</v>
      </c>
      <c r="J6" s="51">
        <f t="shared" si="3"/>
        <v>0.21894069428167948</v>
      </c>
      <c r="K6" s="52">
        <v>2005</v>
      </c>
      <c r="L6" s="52">
        <f t="shared" si="4"/>
        <v>16</v>
      </c>
      <c r="M6" s="52">
        <v>2</v>
      </c>
      <c r="N6" s="52">
        <v>1</v>
      </c>
      <c r="O6" s="52" t="s">
        <v>30</v>
      </c>
    </row>
    <row r="7" spans="1:15" s="22" customFormat="1" ht="57.6" customHeight="1" x14ac:dyDescent="0.25">
      <c r="A7" s="18" t="s">
        <v>32</v>
      </c>
      <c r="B7" s="21">
        <f>2205415+78618</f>
        <v>2284033</v>
      </c>
      <c r="C7" s="21">
        <f>3020478+56416+31437</f>
        <v>3108331</v>
      </c>
      <c r="D7" s="21">
        <f>3884059+51621+13781</f>
        <v>3949461</v>
      </c>
      <c r="E7" s="21">
        <v>10243000</v>
      </c>
      <c r="F7" s="50"/>
      <c r="G7" s="51">
        <f t="shared" si="0"/>
        <v>0.36089583644369405</v>
      </c>
      <c r="H7" s="51">
        <f t="shared" si="1"/>
        <v>0.27060502887240778</v>
      </c>
      <c r="I7" s="51">
        <f t="shared" si="2"/>
        <v>1.5935184573287344</v>
      </c>
      <c r="J7" s="51">
        <f t="shared" si="3"/>
        <v>0.74167310754827875</v>
      </c>
      <c r="K7" s="52">
        <v>2008</v>
      </c>
      <c r="L7" s="52">
        <f t="shared" si="4"/>
        <v>13</v>
      </c>
      <c r="M7" s="52">
        <v>5</v>
      </c>
      <c r="N7" s="52">
        <v>1</v>
      </c>
      <c r="O7" s="52" t="s">
        <v>5</v>
      </c>
    </row>
    <row r="8" spans="1:15" s="22" customFormat="1" ht="48" customHeight="1" x14ac:dyDescent="0.25">
      <c r="A8" s="18" t="s">
        <v>34</v>
      </c>
      <c r="B8" s="21">
        <f>6562000+1814000</f>
        <v>8376000</v>
      </c>
      <c r="C8" s="21">
        <f>5950000+1375000</f>
        <v>7325000</v>
      </c>
      <c r="D8" s="21">
        <f>5601000+2406000</f>
        <v>8007000</v>
      </c>
      <c r="E8" s="21">
        <f>8113000+2683000</f>
        <v>10796000</v>
      </c>
      <c r="F8" s="50"/>
      <c r="G8" s="51">
        <f t="shared" si="0"/>
        <v>-0.12547755491881563</v>
      </c>
      <c r="H8" s="51">
        <f t="shared" si="1"/>
        <v>9.3105802047781516E-2</v>
      </c>
      <c r="I8" s="51">
        <f t="shared" si="2"/>
        <v>0.34832021980766825</v>
      </c>
      <c r="J8" s="51">
        <f t="shared" si="3"/>
        <v>0.10531615564554471</v>
      </c>
      <c r="K8" s="52">
        <v>1971</v>
      </c>
      <c r="L8" s="52">
        <f t="shared" si="4"/>
        <v>50</v>
      </c>
      <c r="M8" s="52">
        <v>1</v>
      </c>
      <c r="N8" s="52">
        <v>1</v>
      </c>
      <c r="O8" s="52" t="s">
        <v>35</v>
      </c>
    </row>
    <row r="9" spans="1:15" s="22" customFormat="1" ht="30" x14ac:dyDescent="0.25">
      <c r="A9" s="18" t="s">
        <v>37</v>
      </c>
      <c r="B9" s="21">
        <f>416533333+31383836+3927932</f>
        <v>451845101</v>
      </c>
      <c r="C9" s="21">
        <f>449419873+73731783+5622511</f>
        <v>528774167</v>
      </c>
      <c r="D9" s="21">
        <f>496569266+28703337+6069730</f>
        <v>531342333</v>
      </c>
      <c r="E9" s="21">
        <f>563866182+35805474+6882002</f>
        <v>606553658</v>
      </c>
      <c r="F9" s="50"/>
      <c r="G9" s="51">
        <f t="shared" si="0"/>
        <v>0.17025539466897976</v>
      </c>
      <c r="H9" s="51">
        <f t="shared" si="1"/>
        <v>4.8568295508277792E-3</v>
      </c>
      <c r="I9" s="51">
        <f t="shared" si="2"/>
        <v>0.14154965702685685</v>
      </c>
      <c r="J9" s="51">
        <f t="shared" si="3"/>
        <v>0.1055539604155548</v>
      </c>
      <c r="K9" s="52">
        <v>1899</v>
      </c>
      <c r="L9" s="52">
        <f t="shared" si="4"/>
        <v>122</v>
      </c>
      <c r="M9" s="52">
        <v>3</v>
      </c>
      <c r="N9" s="52">
        <v>1</v>
      </c>
      <c r="O9" s="52" t="s">
        <v>17</v>
      </c>
    </row>
    <row r="10" spans="1:15" s="22" customFormat="1" ht="45" x14ac:dyDescent="0.25">
      <c r="A10" s="18" t="s">
        <v>41</v>
      </c>
      <c r="B10" s="21">
        <v>1094376.68</v>
      </c>
      <c r="C10" s="21">
        <f>674635.04+107168.51+105192.17</f>
        <v>886995.72000000009</v>
      </c>
      <c r="D10" s="21">
        <v>1145744.24</v>
      </c>
      <c r="E10" s="21">
        <v>1123478.67</v>
      </c>
      <c r="F10" s="50"/>
      <c r="G10" s="51">
        <f t="shared" si="0"/>
        <v>-0.18949687414757399</v>
      </c>
      <c r="H10" s="51">
        <f t="shared" si="1"/>
        <v>0.291713380533561</v>
      </c>
      <c r="I10" s="51">
        <f t="shared" si="2"/>
        <v>-1.9433281200698094E-2</v>
      </c>
      <c r="J10" s="51">
        <f t="shared" si="3"/>
        <v>2.7594408395096304E-2</v>
      </c>
      <c r="K10" s="52">
        <v>1999</v>
      </c>
      <c r="L10" s="52">
        <f t="shared" si="4"/>
        <v>22</v>
      </c>
      <c r="M10" s="52">
        <v>3</v>
      </c>
      <c r="N10" s="52">
        <v>1</v>
      </c>
      <c r="O10" s="52" t="s">
        <v>42</v>
      </c>
    </row>
    <row r="11" spans="1:15" s="15" customFormat="1" x14ac:dyDescent="0.25">
      <c r="A11" s="11" t="s">
        <v>44</v>
      </c>
      <c r="B11" s="14">
        <f>33484805+1961551</f>
        <v>35446356</v>
      </c>
      <c r="C11" s="14">
        <f>35598840+1223638</f>
        <v>36822478</v>
      </c>
      <c r="D11" s="14">
        <v>40897745.600000001</v>
      </c>
      <c r="E11" s="14">
        <v>34555422.799999997</v>
      </c>
      <c r="F11" s="47"/>
      <c r="G11" s="45">
        <f t="shared" si="0"/>
        <v>3.8822664874211599E-2</v>
      </c>
      <c r="H11" s="45">
        <f t="shared" si="1"/>
        <v>0.11067336641493819</v>
      </c>
      <c r="I11" s="45">
        <f t="shared" si="2"/>
        <v>-0.15507756495996206</v>
      </c>
      <c r="J11" s="45">
        <f t="shared" si="3"/>
        <v>-1.8605112236040888E-3</v>
      </c>
      <c r="K11" s="39">
        <v>2002</v>
      </c>
      <c r="L11" s="39">
        <f t="shared" si="4"/>
        <v>19</v>
      </c>
      <c r="M11" s="39">
        <v>1</v>
      </c>
      <c r="N11" s="39">
        <v>1</v>
      </c>
      <c r="O11" s="39" t="s">
        <v>17</v>
      </c>
    </row>
    <row r="12" spans="1:15" s="15" customFormat="1" x14ac:dyDescent="0.25">
      <c r="A12" s="11" t="s">
        <v>47</v>
      </c>
      <c r="B12" s="14">
        <f>24424949+40906</f>
        <v>24465855</v>
      </c>
      <c r="C12" s="14">
        <f>22349358+63836</f>
        <v>22413194</v>
      </c>
      <c r="D12" s="14">
        <f>18530613+72329</f>
        <v>18602942</v>
      </c>
      <c r="E12" s="14">
        <f>15752317+1645453+1586778+936048+1050409+343529+9904+21744</f>
        <v>21346182</v>
      </c>
      <c r="F12" s="47"/>
      <c r="G12" s="45">
        <f t="shared" si="0"/>
        <v>-8.3899009456240181E-2</v>
      </c>
      <c r="H12" s="45">
        <f t="shared" si="1"/>
        <v>-0.17000040244152614</v>
      </c>
      <c r="I12" s="45">
        <f t="shared" si="2"/>
        <v>0.14746269702931936</v>
      </c>
      <c r="J12" s="45">
        <f t="shared" si="3"/>
        <v>-3.5478904956148992E-2</v>
      </c>
      <c r="K12" s="39">
        <v>1995</v>
      </c>
      <c r="L12" s="39">
        <f t="shared" si="4"/>
        <v>26</v>
      </c>
      <c r="M12" s="39">
        <v>1</v>
      </c>
      <c r="N12" s="39">
        <v>1</v>
      </c>
      <c r="O12" s="39" t="s">
        <v>327</v>
      </c>
    </row>
    <row r="13" spans="1:15" s="22" customFormat="1" ht="30" x14ac:dyDescent="0.25">
      <c r="A13" s="18" t="s">
        <v>49</v>
      </c>
      <c r="B13" s="21">
        <f>21675858+1233151+163120</f>
        <v>23072129</v>
      </c>
      <c r="C13" s="21">
        <f>20695204+695669+7500+44347+58717+107801</f>
        <v>21609238</v>
      </c>
      <c r="D13" s="21">
        <f>23694752+556606+35114+130372+49554</f>
        <v>24466398</v>
      </c>
      <c r="E13" s="21">
        <f>220695+683+94799+29893789</f>
        <v>30209966</v>
      </c>
      <c r="F13" s="50"/>
      <c r="G13" s="51">
        <f t="shared" si="0"/>
        <v>-6.3405115323341033E-2</v>
      </c>
      <c r="H13" s="51">
        <f t="shared" si="1"/>
        <v>0.13221937765690761</v>
      </c>
      <c r="I13" s="51">
        <f t="shared" si="2"/>
        <v>0.23475331350368789</v>
      </c>
      <c r="J13" s="51">
        <f t="shared" si="3"/>
        <v>0.10118919194575149</v>
      </c>
      <c r="K13" s="52">
        <v>1997</v>
      </c>
      <c r="L13" s="52">
        <f t="shared" si="4"/>
        <v>24</v>
      </c>
      <c r="M13" s="52">
        <v>5</v>
      </c>
      <c r="N13" s="52">
        <v>1</v>
      </c>
      <c r="O13" s="52" t="s">
        <v>48</v>
      </c>
    </row>
    <row r="14" spans="1:15" s="22" customFormat="1" x14ac:dyDescent="0.25">
      <c r="A14" s="18" t="s">
        <v>55</v>
      </c>
      <c r="B14" s="21">
        <f>2482666</f>
        <v>2482666</v>
      </c>
      <c r="C14" s="21">
        <v>3428377</v>
      </c>
      <c r="D14" s="21">
        <f>3284348+13617</f>
        <v>3297965</v>
      </c>
      <c r="E14" s="21">
        <v>2210088</v>
      </c>
      <c r="F14" s="50"/>
      <c r="G14" s="51">
        <f t="shared" si="0"/>
        <v>0.38092558564059775</v>
      </c>
      <c r="H14" s="51">
        <f t="shared" si="1"/>
        <v>-3.8038990461084055E-2</v>
      </c>
      <c r="I14" s="51">
        <f t="shared" si="2"/>
        <v>-0.32986311255577305</v>
      </c>
      <c r="J14" s="51">
        <f t="shared" si="3"/>
        <v>4.3411608745802148E-3</v>
      </c>
      <c r="K14" s="52">
        <v>1965</v>
      </c>
      <c r="L14" s="52">
        <f t="shared" si="4"/>
        <v>56</v>
      </c>
      <c r="M14" s="52">
        <v>1</v>
      </c>
      <c r="N14" s="52">
        <v>1</v>
      </c>
      <c r="O14" s="52" t="s">
        <v>51</v>
      </c>
    </row>
    <row r="15" spans="1:15" s="15" customFormat="1" x14ac:dyDescent="0.25">
      <c r="A15" s="11" t="s">
        <v>58</v>
      </c>
      <c r="B15" s="14">
        <f>2630977+386966+217603</f>
        <v>3235546</v>
      </c>
      <c r="C15" s="14">
        <f>2765477+251158</f>
        <v>3016635</v>
      </c>
      <c r="D15" s="14">
        <f>3726950+189617</f>
        <v>3916567</v>
      </c>
      <c r="E15" s="14">
        <f>2782826+191686</f>
        <v>2974512</v>
      </c>
      <c r="F15" s="47"/>
      <c r="G15" s="45">
        <f t="shared" si="0"/>
        <v>-6.7658132506847379E-2</v>
      </c>
      <c r="H15" s="45">
        <f t="shared" si="1"/>
        <v>0.29832313156878443</v>
      </c>
      <c r="I15" s="45">
        <f t="shared" si="2"/>
        <v>-0.24053080159231288</v>
      </c>
      <c r="J15" s="45">
        <f t="shared" si="3"/>
        <v>-3.2886008434586111E-3</v>
      </c>
      <c r="K15" s="39">
        <v>2006</v>
      </c>
      <c r="L15" s="39">
        <f t="shared" si="4"/>
        <v>15</v>
      </c>
      <c r="M15" s="39">
        <v>3</v>
      </c>
      <c r="N15" s="39">
        <v>1</v>
      </c>
      <c r="O15" s="39" t="s">
        <v>5</v>
      </c>
    </row>
    <row r="16" spans="1:15" s="22" customFormat="1" ht="75" x14ac:dyDescent="0.25">
      <c r="A16" s="18" t="s">
        <v>64</v>
      </c>
      <c r="B16" s="21">
        <f>4051081.48+4129841.43</f>
        <v>8180922.9100000001</v>
      </c>
      <c r="C16" s="21">
        <f>3187272.36+4717783.8</f>
        <v>7905056.1600000001</v>
      </c>
      <c r="D16" s="21">
        <v>9265069.7699999996</v>
      </c>
      <c r="E16" s="21">
        <v>8623485.0299999993</v>
      </c>
      <c r="F16" s="50"/>
      <c r="G16" s="51">
        <f t="shared" si="0"/>
        <v>-3.3720737016454838E-2</v>
      </c>
      <c r="H16" s="51">
        <f t="shared" si="1"/>
        <v>0.17204351018804132</v>
      </c>
      <c r="I16" s="51">
        <f t="shared" si="2"/>
        <v>-6.9247696555662319E-2</v>
      </c>
      <c r="J16" s="51">
        <f t="shared" si="3"/>
        <v>2.3025025538641386E-2</v>
      </c>
      <c r="K16" s="52">
        <v>1997</v>
      </c>
      <c r="L16" s="52">
        <f t="shared" si="4"/>
        <v>24</v>
      </c>
      <c r="M16" s="52">
        <v>1</v>
      </c>
      <c r="N16" s="52">
        <v>1</v>
      </c>
      <c r="O16" s="52" t="s">
        <v>30</v>
      </c>
    </row>
    <row r="17" spans="1:15" s="22" customFormat="1" x14ac:dyDescent="0.25">
      <c r="A17" s="18" t="s">
        <v>70</v>
      </c>
      <c r="B17" s="21">
        <f>35595107</f>
        <v>35595107</v>
      </c>
      <c r="C17" s="21">
        <v>38705305</v>
      </c>
      <c r="D17" s="21">
        <v>44285527</v>
      </c>
      <c r="E17" s="21">
        <v>50630421</v>
      </c>
      <c r="F17" s="50"/>
      <c r="G17" s="51">
        <f t="shared" si="0"/>
        <v>8.7377121804971702E-2</v>
      </c>
      <c r="H17" s="51">
        <f t="shared" si="1"/>
        <v>0.14417201983035666</v>
      </c>
      <c r="I17" s="51">
        <f t="shared" si="2"/>
        <v>0.14327240590362633</v>
      </c>
      <c r="J17" s="51">
        <f t="shared" si="3"/>
        <v>0.12494051584631823</v>
      </c>
      <c r="K17" s="52">
        <v>1973</v>
      </c>
      <c r="L17" s="52">
        <f t="shared" si="4"/>
        <v>48</v>
      </c>
      <c r="M17" s="52">
        <v>1</v>
      </c>
      <c r="N17" s="52">
        <v>1</v>
      </c>
      <c r="O17" s="52" t="s">
        <v>66</v>
      </c>
    </row>
    <row r="18" spans="1:15" x14ac:dyDescent="0.25">
      <c r="A18" s="4" t="s">
        <v>87</v>
      </c>
      <c r="B18" s="5">
        <v>13841000</v>
      </c>
      <c r="C18" s="5">
        <v>11888000</v>
      </c>
      <c r="D18" s="5">
        <v>10298000</v>
      </c>
      <c r="E18" s="5">
        <v>6578000</v>
      </c>
      <c r="F18" s="48"/>
      <c r="G18" s="45">
        <f t="shared" si="0"/>
        <v>-0.14110252149411173</v>
      </c>
      <c r="H18" s="45">
        <f t="shared" si="1"/>
        <v>-0.13374831763122474</v>
      </c>
      <c r="I18" s="45">
        <f t="shared" si="2"/>
        <v>-0.36123519129928139</v>
      </c>
      <c r="J18" s="45">
        <f t="shared" si="3"/>
        <v>-0.21202867680820595</v>
      </c>
      <c r="K18" s="39">
        <v>1994</v>
      </c>
      <c r="L18" s="39">
        <f t="shared" si="4"/>
        <v>27</v>
      </c>
      <c r="M18" s="39">
        <v>4</v>
      </c>
      <c r="N18" s="39">
        <v>1</v>
      </c>
      <c r="O18" s="39" t="s">
        <v>5</v>
      </c>
    </row>
    <row r="19" spans="1:15" s="22" customFormat="1" ht="48.6" customHeight="1" x14ac:dyDescent="0.25">
      <c r="A19" s="18" t="s">
        <v>88</v>
      </c>
      <c r="B19" s="21">
        <f>1390299</f>
        <v>1390299</v>
      </c>
      <c r="C19" s="21">
        <v>2612363</v>
      </c>
      <c r="D19" s="21">
        <v>3392407</v>
      </c>
      <c r="E19" s="21">
        <v>3873235</v>
      </c>
      <c r="F19" s="50"/>
      <c r="G19" s="51">
        <f t="shared" si="0"/>
        <v>0.8789936553216251</v>
      </c>
      <c r="H19" s="51">
        <f t="shared" si="1"/>
        <v>0.29859709389545031</v>
      </c>
      <c r="I19" s="51">
        <f t="shared" si="2"/>
        <v>0.14173653102354766</v>
      </c>
      <c r="J19" s="51">
        <f t="shared" si="3"/>
        <v>0.43977576008020769</v>
      </c>
      <c r="K19" s="52">
        <v>1994</v>
      </c>
      <c r="L19" s="52">
        <f t="shared" si="4"/>
        <v>27</v>
      </c>
      <c r="M19" s="52">
        <v>1</v>
      </c>
      <c r="N19" s="52">
        <v>1</v>
      </c>
      <c r="O19" s="52" t="s">
        <v>35</v>
      </c>
    </row>
    <row r="20" spans="1:15" s="22" customFormat="1" x14ac:dyDescent="0.25">
      <c r="A20" s="18" t="s">
        <v>91</v>
      </c>
      <c r="B20" s="21">
        <f>5278425.3+154494.77</f>
        <v>5432920.0699999994</v>
      </c>
      <c r="C20" s="21">
        <f>5439342.44+126908.84</f>
        <v>5566251.2800000003</v>
      </c>
      <c r="D20" s="21">
        <f>6179354.26+136627.73</f>
        <v>6315981.9900000002</v>
      </c>
      <c r="E20" s="21">
        <f>6180646.54+50835.82</f>
        <v>6231482.3600000003</v>
      </c>
      <c r="F20" s="50"/>
      <c r="G20" s="51">
        <f t="shared" si="0"/>
        <v>2.4541353136454447E-2</v>
      </c>
      <c r="H20" s="51">
        <f t="shared" si="1"/>
        <v>0.13469221425447397</v>
      </c>
      <c r="I20" s="51">
        <f t="shared" si="2"/>
        <v>-1.3378700277136168E-2</v>
      </c>
      <c r="J20" s="51">
        <f t="shared" si="3"/>
        <v>4.8618289037930751E-2</v>
      </c>
      <c r="K20" s="52">
        <v>1995</v>
      </c>
      <c r="L20" s="52">
        <f t="shared" si="4"/>
        <v>26</v>
      </c>
      <c r="M20" s="52">
        <v>1</v>
      </c>
      <c r="N20" s="52">
        <v>1</v>
      </c>
      <c r="O20" s="52" t="s">
        <v>5</v>
      </c>
    </row>
    <row r="21" spans="1:15" s="22" customFormat="1" ht="30" x14ac:dyDescent="0.25">
      <c r="A21" s="18" t="s">
        <v>97</v>
      </c>
      <c r="B21" s="21">
        <f>1550977.24+76666.5</f>
        <v>1627643.74</v>
      </c>
      <c r="C21" s="21">
        <f>1341289.13+53868.51+22646.42</f>
        <v>1417804.0599999998</v>
      </c>
      <c r="D21" s="21">
        <f>1609609.92+628.75+17051.3</f>
        <v>1627289.97</v>
      </c>
      <c r="E21" s="21">
        <f>2412160.69+54822.77</f>
        <v>2466983.46</v>
      </c>
      <c r="F21" s="50"/>
      <c r="G21" s="51">
        <f t="shared" si="0"/>
        <v>-0.12892236479218733</v>
      </c>
      <c r="H21" s="51">
        <f t="shared" si="1"/>
        <v>0.14775378058939981</v>
      </c>
      <c r="I21" s="51">
        <f t="shared" si="2"/>
        <v>0.51600729155849212</v>
      </c>
      <c r="J21" s="51">
        <f t="shared" si="3"/>
        <v>0.17827956911856821</v>
      </c>
      <c r="K21" s="52">
        <v>2003</v>
      </c>
      <c r="L21" s="52">
        <f t="shared" si="4"/>
        <v>18</v>
      </c>
      <c r="M21" s="52">
        <v>2</v>
      </c>
      <c r="N21" s="52">
        <v>1</v>
      </c>
      <c r="O21" s="52" t="s">
        <v>35</v>
      </c>
    </row>
    <row r="22" spans="1:15" s="22" customFormat="1" ht="45" x14ac:dyDescent="0.25">
      <c r="A22" s="18" t="s">
        <v>100</v>
      </c>
      <c r="B22" s="21">
        <f>3624644+166956</f>
        <v>3791600</v>
      </c>
      <c r="C22" s="21">
        <f>3424434+159390</f>
        <v>3583824</v>
      </c>
      <c r="D22" s="21">
        <f>3640553+196048</f>
        <v>3836601</v>
      </c>
      <c r="E22" s="21">
        <f>4341115+89299</f>
        <v>4430414</v>
      </c>
      <c r="F22" s="50"/>
      <c r="G22" s="51">
        <f t="shared" si="0"/>
        <v>-5.4799029433484581E-2</v>
      </c>
      <c r="H22" s="51">
        <f t="shared" si="1"/>
        <v>7.0532760537347805E-2</v>
      </c>
      <c r="I22" s="51">
        <f t="shared" si="2"/>
        <v>0.15477580285257697</v>
      </c>
      <c r="J22" s="51">
        <f t="shared" si="3"/>
        <v>5.6836511318813399E-2</v>
      </c>
      <c r="K22" s="52">
        <v>2014</v>
      </c>
      <c r="L22" s="52">
        <f t="shared" si="4"/>
        <v>7</v>
      </c>
      <c r="M22" s="52">
        <v>7</v>
      </c>
      <c r="N22" s="52">
        <v>1</v>
      </c>
      <c r="O22" s="52" t="s">
        <v>5</v>
      </c>
    </row>
    <row r="23" spans="1:15" s="22" customFormat="1" ht="30" x14ac:dyDescent="0.25">
      <c r="A23" s="18" t="s">
        <v>103</v>
      </c>
      <c r="B23" s="21">
        <f>1118979.92+745482.08+16112.85+86888.14+176160+250591.07+2297.8+153871.46</f>
        <v>2550383.3199999998</v>
      </c>
      <c r="C23" s="21">
        <f>1290285.12+111422.88</f>
        <v>1401708</v>
      </c>
      <c r="D23" s="21">
        <f>1308553.7+97985.84</f>
        <v>1406539.54</v>
      </c>
      <c r="E23" s="21">
        <f>2768053.92</f>
        <v>2768053.92</v>
      </c>
      <c r="F23" s="50"/>
      <c r="G23" s="51">
        <f t="shared" si="0"/>
        <v>-0.45039320599069788</v>
      </c>
      <c r="H23" s="51">
        <f t="shared" si="1"/>
        <v>3.4468947883581347E-3</v>
      </c>
      <c r="I23" s="51">
        <f t="shared" si="2"/>
        <v>0.96798869941473509</v>
      </c>
      <c r="J23" s="51">
        <f t="shared" si="3"/>
        <v>0.17368079607079845</v>
      </c>
      <c r="K23" s="52">
        <v>1999</v>
      </c>
      <c r="L23" s="52">
        <f t="shared" si="4"/>
        <v>22</v>
      </c>
      <c r="M23" s="52">
        <v>7</v>
      </c>
      <c r="N23" s="52">
        <v>1</v>
      </c>
      <c r="O23" s="52" t="s">
        <v>5</v>
      </c>
    </row>
    <row r="24" spans="1:15" s="22" customFormat="1" x14ac:dyDescent="0.25">
      <c r="A24" s="18" t="s">
        <v>107</v>
      </c>
      <c r="B24" s="21">
        <f>1193926+33401</f>
        <v>1227327</v>
      </c>
      <c r="C24" s="21">
        <f>1106439+16654</f>
        <v>1123093</v>
      </c>
      <c r="D24" s="21">
        <f>1109249+23663</f>
        <v>1132912</v>
      </c>
      <c r="E24" s="21">
        <f>2269401+12828</f>
        <v>2282229</v>
      </c>
      <c r="F24" s="50"/>
      <c r="G24" s="51">
        <f t="shared" si="0"/>
        <v>-8.4927651717920272E-2</v>
      </c>
      <c r="H24" s="51">
        <f t="shared" si="1"/>
        <v>8.7428200514116927E-3</v>
      </c>
      <c r="I24" s="51">
        <f t="shared" si="2"/>
        <v>1.014480383295437</v>
      </c>
      <c r="J24" s="51">
        <f t="shared" si="3"/>
        <v>0.31276518387630947</v>
      </c>
      <c r="K24" s="52">
        <v>2010</v>
      </c>
      <c r="L24" s="52">
        <f t="shared" si="4"/>
        <v>11</v>
      </c>
      <c r="M24" s="52">
        <v>1</v>
      </c>
      <c r="N24" s="52">
        <v>1</v>
      </c>
      <c r="O24" s="52" t="s">
        <v>66</v>
      </c>
    </row>
    <row r="25" spans="1:15" s="22" customFormat="1" x14ac:dyDescent="0.25">
      <c r="A25" s="18" t="s">
        <v>117</v>
      </c>
      <c r="B25" s="21">
        <f>2279201.98+621275.89</f>
        <v>2900477.87</v>
      </c>
      <c r="C25" s="21">
        <f>1037369.95+449818.3</f>
        <v>1487188.25</v>
      </c>
      <c r="D25" s="21">
        <f>7132285.05</f>
        <v>7132285.0499999998</v>
      </c>
      <c r="E25" s="21">
        <f>3570942.15</f>
        <v>3570942.15</v>
      </c>
      <c r="F25" s="50"/>
      <c r="G25" s="51">
        <f t="shared" si="0"/>
        <v>-0.48726095607135245</v>
      </c>
      <c r="H25" s="51">
        <f t="shared" si="1"/>
        <v>3.7958185858447981</v>
      </c>
      <c r="I25" s="51">
        <f t="shared" si="2"/>
        <v>-0.49932705648100817</v>
      </c>
      <c r="J25" s="51">
        <f t="shared" si="3"/>
        <v>0.93641019109747925</v>
      </c>
      <c r="K25" s="52">
        <v>2007</v>
      </c>
      <c r="L25" s="52">
        <f t="shared" si="4"/>
        <v>14</v>
      </c>
      <c r="M25" s="52">
        <v>1</v>
      </c>
      <c r="N25" s="52">
        <v>1</v>
      </c>
      <c r="O25" s="52" t="s">
        <v>17</v>
      </c>
    </row>
    <row r="26" spans="1:15" s="22" customFormat="1" x14ac:dyDescent="0.25">
      <c r="A26" s="18" t="s">
        <v>120</v>
      </c>
      <c r="B26" s="21">
        <f>2781026+271591</f>
        <v>3052617</v>
      </c>
      <c r="C26" s="21">
        <f>2667372+146934</f>
        <v>2814306</v>
      </c>
      <c r="D26" s="21">
        <f>3910888+204438</f>
        <v>4115326</v>
      </c>
      <c r="E26" s="21">
        <v>5180155</v>
      </c>
      <c r="F26" s="50"/>
      <c r="G26" s="51">
        <f t="shared" si="0"/>
        <v>-7.8067769392622832E-2</v>
      </c>
      <c r="H26" s="51">
        <f t="shared" si="1"/>
        <v>0.46228803832987597</v>
      </c>
      <c r="I26" s="51">
        <f t="shared" si="2"/>
        <v>0.25874718066077884</v>
      </c>
      <c r="J26" s="51">
        <f t="shared" si="3"/>
        <v>0.21432248319934399</v>
      </c>
      <c r="K26" s="52">
        <v>2000</v>
      </c>
      <c r="L26" s="52">
        <f t="shared" si="4"/>
        <v>21</v>
      </c>
      <c r="M26" s="52">
        <v>1</v>
      </c>
      <c r="N26" s="52">
        <v>1</v>
      </c>
      <c r="O26" s="52" t="s">
        <v>66</v>
      </c>
    </row>
    <row r="27" spans="1:15" s="22" customFormat="1" x14ac:dyDescent="0.25">
      <c r="A27" s="18" t="s">
        <v>123</v>
      </c>
      <c r="B27" s="21">
        <f>2993790+19052+5372</f>
        <v>3018214</v>
      </c>
      <c r="C27" s="21">
        <f>2201996+2217925-19357</f>
        <v>4400564</v>
      </c>
      <c r="D27" s="21">
        <f>2439078+3262437-18267</f>
        <v>5683248</v>
      </c>
      <c r="E27" s="21">
        <f>4915519.27+732411.04+8797.5-6420.6</f>
        <v>5650307.21</v>
      </c>
      <c r="F27" s="50"/>
      <c r="G27" s="51">
        <f t="shared" si="0"/>
        <v>0.45800264659828627</v>
      </c>
      <c r="H27" s="51">
        <f t="shared" si="1"/>
        <v>0.29148172825119678</v>
      </c>
      <c r="I27" s="51">
        <f t="shared" si="2"/>
        <v>-5.7961204578790282E-3</v>
      </c>
      <c r="J27" s="51">
        <f t="shared" si="3"/>
        <v>0.24789608479720135</v>
      </c>
      <c r="K27" s="52">
        <v>2005</v>
      </c>
      <c r="L27" s="52">
        <f t="shared" si="4"/>
        <v>16</v>
      </c>
      <c r="M27" s="52">
        <v>1</v>
      </c>
      <c r="N27" s="52">
        <v>1</v>
      </c>
      <c r="O27" s="52" t="s">
        <v>5</v>
      </c>
    </row>
    <row r="28" spans="1:15" s="22" customFormat="1" x14ac:dyDescent="0.25">
      <c r="A28" s="18" t="s">
        <v>129</v>
      </c>
      <c r="B28" s="21">
        <f>15440419</f>
        <v>15440419</v>
      </c>
      <c r="C28" s="21">
        <v>11499186</v>
      </c>
      <c r="D28" s="21">
        <f>22381630</f>
        <v>22381630</v>
      </c>
      <c r="E28" s="21">
        <v>17781156</v>
      </c>
      <c r="F28" s="50"/>
      <c r="G28" s="51">
        <f t="shared" si="0"/>
        <v>-0.25525427774984599</v>
      </c>
      <c r="H28" s="51">
        <f t="shared" si="1"/>
        <v>0.94636646454801232</v>
      </c>
      <c r="I28" s="51">
        <f t="shared" si="2"/>
        <v>-0.20554687035752084</v>
      </c>
      <c r="J28" s="51">
        <f t="shared" si="3"/>
        <v>0.16185510548021517</v>
      </c>
      <c r="K28" s="52">
        <v>2000</v>
      </c>
      <c r="L28" s="52">
        <f t="shared" si="4"/>
        <v>21</v>
      </c>
      <c r="M28" s="52">
        <v>7</v>
      </c>
      <c r="N28" s="52">
        <v>1</v>
      </c>
      <c r="O28" s="52" t="s">
        <v>124</v>
      </c>
    </row>
    <row r="29" spans="1:15" s="22" customFormat="1" ht="45.6" customHeight="1" x14ac:dyDescent="0.25">
      <c r="A29" s="18" t="s">
        <v>132</v>
      </c>
      <c r="B29" s="21">
        <f>782764+17580</f>
        <v>800344</v>
      </c>
      <c r="C29" s="21">
        <f>2487075+24370</f>
        <v>2511445</v>
      </c>
      <c r="D29" s="21">
        <f>2712921</f>
        <v>2712921</v>
      </c>
      <c r="E29" s="21">
        <f>2767348+973</f>
        <v>2768321</v>
      </c>
      <c r="F29" s="50"/>
      <c r="G29" s="51">
        <f t="shared" si="0"/>
        <v>2.1379569285207363</v>
      </c>
      <c r="H29" s="51">
        <f t="shared" si="1"/>
        <v>8.0223138472074851E-2</v>
      </c>
      <c r="I29" s="51">
        <f t="shared" si="2"/>
        <v>2.0420793675894E-2</v>
      </c>
      <c r="J29" s="51">
        <f t="shared" si="3"/>
        <v>0.74620028688956841</v>
      </c>
      <c r="K29" s="52">
        <v>1991</v>
      </c>
      <c r="L29" s="52">
        <f t="shared" si="4"/>
        <v>30</v>
      </c>
      <c r="M29" s="52">
        <v>3</v>
      </c>
      <c r="N29" s="52">
        <v>1</v>
      </c>
      <c r="O29" s="52" t="s">
        <v>30</v>
      </c>
    </row>
    <row r="30" spans="1:15" s="22" customFormat="1" ht="30" x14ac:dyDescent="0.25">
      <c r="A30" s="18" t="s">
        <v>137</v>
      </c>
      <c r="B30" s="21">
        <f>10246000+1461000</f>
        <v>11707000</v>
      </c>
      <c r="C30" s="21">
        <f>12797000+3128000</f>
        <v>15925000</v>
      </c>
      <c r="D30" s="21">
        <f>17238000+847000</f>
        <v>18085000</v>
      </c>
      <c r="E30" s="21">
        <f>19299000+2703000</f>
        <v>22002000</v>
      </c>
      <c r="F30" s="50"/>
      <c r="G30" s="51">
        <f t="shared" si="0"/>
        <v>0.36029725805073887</v>
      </c>
      <c r="H30" s="51">
        <f t="shared" si="1"/>
        <v>0.13563579277865001</v>
      </c>
      <c r="I30" s="51">
        <f t="shared" si="2"/>
        <v>0.21658833287254642</v>
      </c>
      <c r="J30" s="51">
        <f t="shared" si="3"/>
        <v>0.2375071279006451</v>
      </c>
      <c r="K30" s="52">
        <v>2003</v>
      </c>
      <c r="L30" s="52">
        <f t="shared" si="4"/>
        <v>18</v>
      </c>
      <c r="M30" s="52">
        <v>7</v>
      </c>
      <c r="N30" s="52">
        <v>1</v>
      </c>
      <c r="O30" s="52" t="s">
        <v>134</v>
      </c>
    </row>
    <row r="31" spans="1:15" s="15" customFormat="1" ht="45" x14ac:dyDescent="0.25">
      <c r="A31" s="11" t="s">
        <v>140</v>
      </c>
      <c r="B31" s="14">
        <f>6855000</f>
        <v>6855000</v>
      </c>
      <c r="C31" s="14">
        <f>7496000+119000-2000</f>
        <v>7613000</v>
      </c>
      <c r="D31" s="14">
        <f>7647000+109000-6000</f>
        <v>7750000</v>
      </c>
      <c r="E31" s="14">
        <f>5939000+16000</f>
        <v>5955000</v>
      </c>
      <c r="F31" s="47"/>
      <c r="G31" s="45">
        <f t="shared" si="0"/>
        <v>0.11057622173595916</v>
      </c>
      <c r="H31" s="45">
        <f t="shared" si="1"/>
        <v>1.7995533955076803E-2</v>
      </c>
      <c r="I31" s="45">
        <f t="shared" si="2"/>
        <v>-0.23161290322580641</v>
      </c>
      <c r="J31" s="45">
        <f t="shared" si="3"/>
        <v>-3.4347049178256817E-2</v>
      </c>
      <c r="K31" s="39">
        <v>1992</v>
      </c>
      <c r="L31" s="39">
        <f t="shared" si="4"/>
        <v>29</v>
      </c>
      <c r="M31" s="39">
        <v>4</v>
      </c>
      <c r="N31" s="39">
        <v>1</v>
      </c>
      <c r="O31" s="39" t="s">
        <v>136</v>
      </c>
    </row>
    <row r="32" spans="1:15" s="22" customFormat="1" ht="45" x14ac:dyDescent="0.25">
      <c r="A32" s="18" t="s">
        <v>143</v>
      </c>
      <c r="B32" s="21">
        <f>11086201+10219936+780414+500254+288442</f>
        <v>22875247</v>
      </c>
      <c r="C32" s="21">
        <f>13681497+10970251+1063292+342851+129441+17849</f>
        <v>26205181</v>
      </c>
      <c r="D32" s="21">
        <f>13106199+11267675+114307+1495046+143679+24528+53655</f>
        <v>26205089</v>
      </c>
      <c r="E32" s="21">
        <f>13070202+9100115+304101+1318070+64445+19776</f>
        <v>23876709</v>
      </c>
      <c r="F32" s="50"/>
      <c r="G32" s="51">
        <f t="shared" si="0"/>
        <v>0.14556931341550094</v>
      </c>
      <c r="H32" s="51">
        <f t="shared" si="1"/>
        <v>-3.5107561363600936E-6</v>
      </c>
      <c r="I32" s="51">
        <f t="shared" si="2"/>
        <v>-8.8852207294545016E-2</v>
      </c>
      <c r="J32" s="51">
        <f t="shared" si="3"/>
        <v>1.8904531788273189E-2</v>
      </c>
      <c r="K32" s="52">
        <v>1984</v>
      </c>
      <c r="L32" s="52">
        <f t="shared" si="4"/>
        <v>37</v>
      </c>
      <c r="M32" s="52">
        <v>4</v>
      </c>
      <c r="N32" s="52">
        <v>1</v>
      </c>
      <c r="O32" s="52" t="s">
        <v>51</v>
      </c>
    </row>
    <row r="33" spans="1:15" s="22" customFormat="1" ht="60" x14ac:dyDescent="0.25">
      <c r="A33" s="18" t="s">
        <v>146</v>
      </c>
      <c r="B33" s="21">
        <f>7204185.05+110473</f>
        <v>7314658.0499999998</v>
      </c>
      <c r="C33" s="21">
        <f>6076.97+8154951.06+31800.2</f>
        <v>8192828.2299999995</v>
      </c>
      <c r="D33" s="21">
        <f>8400000+114000</f>
        <v>8514000</v>
      </c>
      <c r="E33" s="21">
        <f>11462000+36000</f>
        <v>11498000</v>
      </c>
      <c r="F33" s="50"/>
      <c r="G33" s="51">
        <f t="shared" si="0"/>
        <v>0.12005621780227993</v>
      </c>
      <c r="H33" s="51">
        <f t="shared" si="1"/>
        <v>3.9201574960885166E-2</v>
      </c>
      <c r="I33" s="51">
        <f t="shared" si="2"/>
        <v>0.35048155978388529</v>
      </c>
      <c r="J33" s="51">
        <f t="shared" si="3"/>
        <v>0.16991311751568347</v>
      </c>
      <c r="K33" s="52">
        <v>1995</v>
      </c>
      <c r="L33" s="52">
        <f t="shared" si="4"/>
        <v>26</v>
      </c>
      <c r="M33" s="52">
        <v>4</v>
      </c>
      <c r="N33" s="52">
        <v>1</v>
      </c>
      <c r="O33" s="52" t="s">
        <v>144</v>
      </c>
    </row>
    <row r="34" spans="1:15" s="22" customFormat="1" ht="30" x14ac:dyDescent="0.25">
      <c r="A34" s="18" t="s">
        <v>154</v>
      </c>
      <c r="B34" s="21">
        <f>886311.05+17538.45</f>
        <v>903849.5</v>
      </c>
      <c r="C34" s="21">
        <f>931718.83+15919.22</f>
        <v>947638.04999999993</v>
      </c>
      <c r="D34" s="21">
        <f>1055237.25</f>
        <v>1055237.25</v>
      </c>
      <c r="E34" s="21">
        <v>2728080.41</v>
      </c>
      <c r="F34" s="50"/>
      <c r="G34" s="51">
        <f t="shared" ref="G34:G65" si="5">((C34/B34)-1)</f>
        <v>4.8446727027010583E-2</v>
      </c>
      <c r="H34" s="51">
        <f t="shared" ref="H34:H65" si="6">((D34/C34)-1)</f>
        <v>0.1135446175889625</v>
      </c>
      <c r="I34" s="51">
        <f t="shared" ref="I34:I65" si="7">((E34/D34)-1)</f>
        <v>1.5852768275570259</v>
      </c>
      <c r="J34" s="51">
        <f t="shared" si="3"/>
        <v>0.58242272405766637</v>
      </c>
      <c r="K34" s="52">
        <v>2005</v>
      </c>
      <c r="L34" s="52">
        <f t="shared" si="4"/>
        <v>16</v>
      </c>
      <c r="M34" s="52">
        <v>4</v>
      </c>
      <c r="N34" s="52">
        <v>1</v>
      </c>
      <c r="O34" s="52" t="s">
        <v>147</v>
      </c>
    </row>
    <row r="35" spans="1:15" s="22" customFormat="1" x14ac:dyDescent="0.25">
      <c r="A35" s="18" t="s">
        <v>156</v>
      </c>
      <c r="B35" s="21">
        <f>1960401+118062</f>
        <v>2078463</v>
      </c>
      <c r="C35" s="21">
        <f>1737661+33059</f>
        <v>1770720</v>
      </c>
      <c r="D35" s="21">
        <f>2496370+25773</f>
        <v>2522143</v>
      </c>
      <c r="E35" s="21">
        <f>2470555+17036</f>
        <v>2487591</v>
      </c>
      <c r="F35" s="50"/>
      <c r="G35" s="51">
        <f t="shared" si="5"/>
        <v>-0.1480627752334297</v>
      </c>
      <c r="H35" s="51">
        <f t="shared" si="6"/>
        <v>0.42436014728472027</v>
      </c>
      <c r="I35" s="51">
        <f t="shared" si="7"/>
        <v>-1.3699461132854029E-2</v>
      </c>
      <c r="J35" s="51">
        <f t="shared" si="3"/>
        <v>8.7532636972812175E-2</v>
      </c>
      <c r="K35" s="52">
        <v>2005</v>
      </c>
      <c r="L35" s="52">
        <f t="shared" si="4"/>
        <v>16</v>
      </c>
      <c r="M35" s="52">
        <v>7</v>
      </c>
      <c r="N35" s="52">
        <v>1</v>
      </c>
      <c r="O35" s="52" t="s">
        <v>66</v>
      </c>
    </row>
    <row r="36" spans="1:15" s="22" customFormat="1" ht="41.45" customHeight="1" x14ac:dyDescent="0.25">
      <c r="A36" s="18" t="s">
        <v>163</v>
      </c>
      <c r="B36" s="21">
        <f>2201922+1913025</f>
        <v>4114947</v>
      </c>
      <c r="C36" s="21">
        <f>5002565</f>
        <v>5002565</v>
      </c>
      <c r="D36" s="21">
        <f>3797220</f>
        <v>3797220</v>
      </c>
      <c r="E36" s="21">
        <f>4486622</f>
        <v>4486622</v>
      </c>
      <c r="F36" s="50"/>
      <c r="G36" s="51">
        <f t="shared" si="5"/>
        <v>0.21570581589507709</v>
      </c>
      <c r="H36" s="51">
        <f t="shared" si="6"/>
        <v>-0.24094539501235868</v>
      </c>
      <c r="I36" s="51">
        <f t="shared" si="7"/>
        <v>0.18155440032444781</v>
      </c>
      <c r="J36" s="51">
        <f t="shared" si="3"/>
        <v>5.2104940402388743E-2</v>
      </c>
      <c r="K36" s="52">
        <v>2011</v>
      </c>
      <c r="L36" s="52">
        <f t="shared" si="4"/>
        <v>10</v>
      </c>
      <c r="M36" s="52">
        <v>1</v>
      </c>
      <c r="N36" s="52">
        <v>1</v>
      </c>
      <c r="O36" s="52" t="s">
        <v>5</v>
      </c>
    </row>
    <row r="37" spans="1:15" ht="30" x14ac:dyDescent="0.25">
      <c r="A37" s="4" t="s">
        <v>165</v>
      </c>
      <c r="B37" s="5">
        <f>11341985+62282</f>
        <v>11404267</v>
      </c>
      <c r="C37" s="5">
        <v>10431914</v>
      </c>
      <c r="D37" s="5">
        <f>10688275-232931</f>
        <v>10455344</v>
      </c>
      <c r="E37" s="5">
        <f>11357298-248256</f>
        <v>11109042</v>
      </c>
      <c r="F37" s="48"/>
      <c r="G37" s="45">
        <f t="shared" si="5"/>
        <v>-8.5262209311655068E-2</v>
      </c>
      <c r="H37" s="45">
        <f t="shared" si="6"/>
        <v>2.2459924420388244E-3</v>
      </c>
      <c r="I37" s="45">
        <f t="shared" si="7"/>
        <v>6.252285912352562E-2</v>
      </c>
      <c r="J37" s="45">
        <f t="shared" si="3"/>
        <v>-6.8311192486968748E-3</v>
      </c>
      <c r="K37" s="39">
        <v>2001</v>
      </c>
      <c r="L37" s="39">
        <f t="shared" si="4"/>
        <v>20</v>
      </c>
      <c r="M37" s="39">
        <v>4</v>
      </c>
      <c r="N37" s="39">
        <v>1</v>
      </c>
      <c r="O37" s="39" t="s">
        <v>5</v>
      </c>
    </row>
    <row r="38" spans="1:15" ht="30" x14ac:dyDescent="0.25">
      <c r="A38" s="4" t="s">
        <v>168</v>
      </c>
      <c r="B38" s="5">
        <f>51878659.07</f>
        <v>51878659.07</v>
      </c>
      <c r="C38" s="5">
        <f>50313064.34</f>
        <v>50313064.340000004</v>
      </c>
      <c r="D38" s="5">
        <f>50583475.96+1225837.86</f>
        <v>51809313.82</v>
      </c>
      <c r="E38" s="5">
        <f>30977688.03+246534.73</f>
        <v>31224222.760000002</v>
      </c>
      <c r="F38" s="48"/>
      <c r="G38" s="45">
        <f t="shared" si="5"/>
        <v>-3.0178010728602933E-2</v>
      </c>
      <c r="H38" s="45">
        <f t="shared" si="6"/>
        <v>2.9738786528461292E-2</v>
      </c>
      <c r="I38" s="45">
        <f t="shared" si="7"/>
        <v>-0.39732414004783667</v>
      </c>
      <c r="J38" s="45">
        <f t="shared" si="3"/>
        <v>-0.13258778808265945</v>
      </c>
      <c r="K38" s="39">
        <v>1978</v>
      </c>
      <c r="L38" s="39">
        <f t="shared" si="4"/>
        <v>43</v>
      </c>
      <c r="M38" s="39">
        <v>1</v>
      </c>
      <c r="N38" s="39">
        <v>1</v>
      </c>
      <c r="O38" s="39" t="s">
        <v>166</v>
      </c>
    </row>
    <row r="39" spans="1:15" s="15" customFormat="1" ht="30" x14ac:dyDescent="0.25">
      <c r="A39" s="11" t="s">
        <v>173</v>
      </c>
      <c r="B39" s="14">
        <f>2384666.74</f>
        <v>2384666.7400000002</v>
      </c>
      <c r="C39" s="14">
        <f>2853935.17</f>
        <v>2853935.17</v>
      </c>
      <c r="D39" s="14">
        <f>2711865.89</f>
        <v>2711865.89</v>
      </c>
      <c r="E39" s="14">
        <f>2105440.29</f>
        <v>2105440.29</v>
      </c>
      <c r="F39" s="47"/>
      <c r="G39" s="45">
        <f t="shared" si="5"/>
        <v>0.19678574877091615</v>
      </c>
      <c r="H39" s="45">
        <f t="shared" si="6"/>
        <v>-4.9780135685422611E-2</v>
      </c>
      <c r="I39" s="45">
        <f t="shared" si="7"/>
        <v>-0.22361931769420951</v>
      </c>
      <c r="J39" s="45">
        <f t="shared" si="3"/>
        <v>-2.5537901536238656E-2</v>
      </c>
      <c r="K39" s="39">
        <v>1963</v>
      </c>
      <c r="L39" s="39">
        <f t="shared" si="4"/>
        <v>58</v>
      </c>
      <c r="M39" s="39">
        <v>1</v>
      </c>
      <c r="N39" s="39">
        <v>1</v>
      </c>
      <c r="O39" s="39" t="s">
        <v>171</v>
      </c>
    </row>
    <row r="40" spans="1:15" ht="30" x14ac:dyDescent="0.25">
      <c r="A40" s="4" t="s">
        <v>176</v>
      </c>
      <c r="B40" s="5">
        <f>121113000+46718000+4910000+7239000+2956000+249000+7776000</f>
        <v>190961000</v>
      </c>
      <c r="C40" s="5">
        <f>116352000+45345000+4835000+6314000+5889000+196000+9137000</f>
        <v>188068000</v>
      </c>
      <c r="D40" s="5">
        <f>189233180.43+2368032.91</f>
        <v>191601213.34</v>
      </c>
      <c r="E40" s="5">
        <f>169757451.76+1358816.29</f>
        <v>171116268.04999998</v>
      </c>
      <c r="F40" s="48"/>
      <c r="G40" s="45">
        <f t="shared" si="5"/>
        <v>-1.514969025088897E-2</v>
      </c>
      <c r="H40" s="45">
        <f t="shared" si="6"/>
        <v>1.8786892719654613E-2</v>
      </c>
      <c r="I40" s="45">
        <f t="shared" si="7"/>
        <v>-0.10691448625457867</v>
      </c>
      <c r="J40" s="45">
        <f t="shared" si="3"/>
        <v>-3.4425761261937672E-2</v>
      </c>
      <c r="K40" s="44">
        <v>1992</v>
      </c>
      <c r="L40" s="44">
        <f t="shared" si="4"/>
        <v>29</v>
      </c>
      <c r="M40" s="44">
        <v>1</v>
      </c>
      <c r="N40" s="44">
        <v>1</v>
      </c>
      <c r="O40" s="44" t="s">
        <v>171</v>
      </c>
    </row>
    <row r="41" spans="1:15" s="22" customFormat="1" ht="45" x14ac:dyDescent="0.25">
      <c r="A41" s="18" t="s">
        <v>180</v>
      </c>
      <c r="B41" s="21">
        <f>80517582</f>
        <v>80517582</v>
      </c>
      <c r="C41" s="21">
        <f>84392183</f>
        <v>84392183</v>
      </c>
      <c r="D41" s="21">
        <f>87229546</f>
        <v>87229546</v>
      </c>
      <c r="E41" s="21">
        <f>89600590</f>
        <v>89600590</v>
      </c>
      <c r="F41" s="50"/>
      <c r="G41" s="51">
        <f t="shared" si="5"/>
        <v>4.8121179297212269E-2</v>
      </c>
      <c r="H41" s="51">
        <f t="shared" si="6"/>
        <v>3.3621158964450615E-2</v>
      </c>
      <c r="I41" s="51">
        <f t="shared" si="7"/>
        <v>2.7181661589755324E-2</v>
      </c>
      <c r="J41" s="51">
        <f t="shared" si="3"/>
        <v>3.6307999950472736E-2</v>
      </c>
      <c r="K41" s="52">
        <v>1947</v>
      </c>
      <c r="L41" s="52">
        <f t="shared" si="4"/>
        <v>74</v>
      </c>
      <c r="M41" s="52">
        <v>1</v>
      </c>
      <c r="N41" s="52">
        <v>1</v>
      </c>
      <c r="O41" s="52" t="s">
        <v>17</v>
      </c>
    </row>
    <row r="42" spans="1:15" s="22" customFormat="1" x14ac:dyDescent="0.25">
      <c r="A42" s="18" t="s">
        <v>183</v>
      </c>
      <c r="B42" s="21">
        <f>6800487</f>
        <v>6800487</v>
      </c>
      <c r="C42" s="21">
        <f>7582666</f>
        <v>7582666</v>
      </c>
      <c r="D42" s="21">
        <f>9719827+84477</f>
        <v>9804304</v>
      </c>
      <c r="E42" s="21">
        <f>8372499+14613</f>
        <v>8387112</v>
      </c>
      <c r="F42" s="50"/>
      <c r="G42" s="51">
        <f t="shared" si="5"/>
        <v>0.11501808620470855</v>
      </c>
      <c r="H42" s="51">
        <f t="shared" si="6"/>
        <v>0.29298903578240165</v>
      </c>
      <c r="I42" s="51">
        <f t="shared" si="7"/>
        <v>-0.14454794547374294</v>
      </c>
      <c r="J42" s="51">
        <f t="shared" si="3"/>
        <v>8.7819725504455756E-2</v>
      </c>
      <c r="K42" s="52">
        <v>1980</v>
      </c>
      <c r="L42" s="52">
        <f t="shared" si="4"/>
        <v>41</v>
      </c>
      <c r="M42" s="52">
        <v>3</v>
      </c>
      <c r="N42" s="52">
        <v>1</v>
      </c>
      <c r="O42" s="52" t="s">
        <v>181</v>
      </c>
    </row>
    <row r="43" spans="1:15" s="22" customFormat="1" ht="45" x14ac:dyDescent="0.25">
      <c r="A43" s="18" t="s">
        <v>187</v>
      </c>
      <c r="B43" s="21">
        <f>118664000+393000</f>
        <v>119057000</v>
      </c>
      <c r="C43" s="21">
        <f>138739000+699000</f>
        <v>139438000</v>
      </c>
      <c r="D43" s="21">
        <f>154762000+1261000</f>
        <v>156023000</v>
      </c>
      <c r="E43" s="21">
        <f>159706000+929000</f>
        <v>160635000</v>
      </c>
      <c r="F43" s="50"/>
      <c r="G43" s="51">
        <f t="shared" si="5"/>
        <v>0.17118691047145496</v>
      </c>
      <c r="H43" s="51">
        <f t="shared" si="6"/>
        <v>0.11894175188972866</v>
      </c>
      <c r="I43" s="51">
        <f t="shared" si="7"/>
        <v>2.9559744396659537E-2</v>
      </c>
      <c r="J43" s="51">
        <f t="shared" si="3"/>
        <v>0.10656280225261439</v>
      </c>
      <c r="K43" s="52">
        <v>1997</v>
      </c>
      <c r="L43" s="52">
        <f t="shared" si="4"/>
        <v>24</v>
      </c>
      <c r="M43" s="52">
        <v>1</v>
      </c>
      <c r="N43" s="52">
        <v>1</v>
      </c>
      <c r="O43" s="52" t="s">
        <v>185</v>
      </c>
    </row>
    <row r="44" spans="1:15" s="15" customFormat="1" ht="30" x14ac:dyDescent="0.25">
      <c r="A44" s="11" t="s">
        <v>190</v>
      </c>
      <c r="B44" s="14">
        <f>81282000+963000</f>
        <v>82245000</v>
      </c>
      <c r="C44" s="14">
        <f>49498000+174000</f>
        <v>49672000</v>
      </c>
      <c r="D44" s="14">
        <f>63008000+1756000</f>
        <v>64764000</v>
      </c>
      <c r="E44" s="14">
        <f>64413000</f>
        <v>64413000</v>
      </c>
      <c r="F44" s="47"/>
      <c r="G44" s="45">
        <f t="shared" si="5"/>
        <v>-0.39604839199951369</v>
      </c>
      <c r="H44" s="45">
        <f t="shared" si="6"/>
        <v>0.30383314543404727</v>
      </c>
      <c r="I44" s="45">
        <f t="shared" si="7"/>
        <v>-5.4196775986659063E-3</v>
      </c>
      <c r="J44" s="45">
        <f t="shared" si="3"/>
        <v>-3.2544974721377441E-2</v>
      </c>
      <c r="K44" s="39">
        <v>1991</v>
      </c>
      <c r="L44" s="39">
        <f t="shared" si="4"/>
        <v>30</v>
      </c>
      <c r="M44" s="39">
        <v>3</v>
      </c>
      <c r="N44" s="39">
        <v>1</v>
      </c>
      <c r="O44" s="39" t="s">
        <v>5</v>
      </c>
    </row>
    <row r="45" spans="1:15" s="15" customFormat="1" x14ac:dyDescent="0.25">
      <c r="A45" s="11" t="s">
        <v>194</v>
      </c>
      <c r="B45" s="14">
        <f>306865.19+6213.31+14125.76</f>
        <v>327204.26</v>
      </c>
      <c r="C45" s="14">
        <f>185477.39+911.63+1089.24</f>
        <v>187478.26</v>
      </c>
      <c r="D45" s="14">
        <f>204.52+60005.19</f>
        <v>60209.71</v>
      </c>
      <c r="E45" s="14">
        <f>77082.58+0.31</f>
        <v>77082.89</v>
      </c>
      <c r="F45" s="47"/>
      <c r="G45" s="45">
        <f t="shared" si="5"/>
        <v>-0.42702989258147184</v>
      </c>
      <c r="H45" s="45">
        <f t="shared" si="6"/>
        <v>-0.6788443097348994</v>
      </c>
      <c r="I45" s="45">
        <f t="shared" si="7"/>
        <v>0.28024018052902089</v>
      </c>
      <c r="J45" s="45">
        <f t="shared" si="3"/>
        <v>-0.27521134059578345</v>
      </c>
      <c r="K45" s="44">
        <v>1996</v>
      </c>
      <c r="L45" s="44">
        <f t="shared" si="4"/>
        <v>25</v>
      </c>
      <c r="M45" s="44">
        <v>4</v>
      </c>
      <c r="N45" s="44">
        <v>1</v>
      </c>
      <c r="O45" s="44" t="s">
        <v>192</v>
      </c>
    </row>
    <row r="46" spans="1:15" s="15" customFormat="1" x14ac:dyDescent="0.25">
      <c r="A46" s="11" t="s">
        <v>197</v>
      </c>
      <c r="B46" s="14">
        <f>7309695+379981+2744902</f>
        <v>10434578</v>
      </c>
      <c r="C46" s="14">
        <f>9131200</f>
        <v>9131200</v>
      </c>
      <c r="D46" s="14">
        <f>10519166</f>
        <v>10519166</v>
      </c>
      <c r="E46" s="14">
        <v>10192469</v>
      </c>
      <c r="F46" s="47"/>
      <c r="G46" s="45">
        <f t="shared" si="5"/>
        <v>-0.12490950760059483</v>
      </c>
      <c r="H46" s="45">
        <f t="shared" si="6"/>
        <v>0.15200258454529525</v>
      </c>
      <c r="I46" s="45">
        <f t="shared" si="7"/>
        <v>-3.1057310056709864E-2</v>
      </c>
      <c r="J46" s="45">
        <f t="shared" si="3"/>
        <v>-1.3214110373364802E-3</v>
      </c>
      <c r="K46" s="44">
        <v>1985</v>
      </c>
      <c r="L46" s="44">
        <f t="shared" si="4"/>
        <v>36</v>
      </c>
      <c r="M46" s="44">
        <v>3</v>
      </c>
      <c r="N46" s="53">
        <v>2</v>
      </c>
      <c r="O46" s="44" t="s">
        <v>195</v>
      </c>
    </row>
    <row r="47" spans="1:15" s="22" customFormat="1" ht="30" x14ac:dyDescent="0.25">
      <c r="A47" s="18" t="s">
        <v>202</v>
      </c>
      <c r="B47" s="21">
        <f>18277336+16765+102247</f>
        <v>18396348</v>
      </c>
      <c r="C47" s="21">
        <f>17629526+112370</f>
        <v>17741896</v>
      </c>
      <c r="D47" s="21">
        <f>26016396+278982</f>
        <v>26295378</v>
      </c>
      <c r="E47" s="21">
        <f>46373460+544841</f>
        <v>46918301</v>
      </c>
      <c r="F47" s="50"/>
      <c r="G47" s="51">
        <f t="shared" si="5"/>
        <v>-3.557510436310507E-2</v>
      </c>
      <c r="H47" s="51">
        <f t="shared" si="6"/>
        <v>0.4821064219968374</v>
      </c>
      <c r="I47" s="51">
        <f t="shared" si="7"/>
        <v>0.78427938932842123</v>
      </c>
      <c r="J47" s="51">
        <f t="shared" si="3"/>
        <v>0.41027023565405124</v>
      </c>
      <c r="K47" s="52">
        <v>1998</v>
      </c>
      <c r="L47" s="52">
        <f t="shared" si="4"/>
        <v>23</v>
      </c>
      <c r="M47" s="52">
        <v>2</v>
      </c>
      <c r="N47" s="53">
        <v>2</v>
      </c>
      <c r="O47" s="52" t="s">
        <v>5</v>
      </c>
    </row>
    <row r="48" spans="1:15" ht="30" x14ac:dyDescent="0.25">
      <c r="A48" s="4" t="s">
        <v>205</v>
      </c>
      <c r="B48" s="5">
        <f>29225000+425000</f>
        <v>29650000</v>
      </c>
      <c r="C48" s="5">
        <f>30960000+32000+233000</f>
        <v>31225000</v>
      </c>
      <c r="D48" s="5">
        <f>30659000+85000+374000</f>
        <v>31118000</v>
      </c>
      <c r="E48" s="5">
        <f>28857000+112000+218000</f>
        <v>29187000</v>
      </c>
      <c r="F48" s="48"/>
      <c r="G48" s="45">
        <f t="shared" si="5"/>
        <v>5.3119730185497538E-2</v>
      </c>
      <c r="H48" s="45">
        <f t="shared" si="6"/>
        <v>-3.4267413931144963E-3</v>
      </c>
      <c r="I48" s="45">
        <f t="shared" si="7"/>
        <v>-6.205411658846971E-2</v>
      </c>
      <c r="J48" s="45">
        <f t="shared" si="3"/>
        <v>-4.1203759320288897E-3</v>
      </c>
      <c r="K48" s="44">
        <v>1946</v>
      </c>
      <c r="L48" s="44">
        <f t="shared" si="4"/>
        <v>75</v>
      </c>
      <c r="M48" s="44">
        <v>1</v>
      </c>
      <c r="N48" s="53">
        <v>2</v>
      </c>
      <c r="O48" s="44" t="s">
        <v>5</v>
      </c>
    </row>
    <row r="49" spans="1:15" s="22" customFormat="1" x14ac:dyDescent="0.25">
      <c r="A49" s="18" t="s">
        <v>208</v>
      </c>
      <c r="B49" s="21">
        <f>30397021</f>
        <v>30397021</v>
      </c>
      <c r="C49" s="21">
        <f>31881810</f>
        <v>31881810</v>
      </c>
      <c r="D49" s="21">
        <f>29045622</f>
        <v>29045622</v>
      </c>
      <c r="E49" s="21">
        <f>30813824</f>
        <v>30813824</v>
      </c>
      <c r="F49" s="50"/>
      <c r="G49" s="51">
        <f t="shared" si="5"/>
        <v>4.8846530059639681E-2</v>
      </c>
      <c r="H49" s="51">
        <f t="shared" si="6"/>
        <v>-8.8959441135870287E-2</v>
      </c>
      <c r="I49" s="51">
        <f t="shared" si="7"/>
        <v>6.0876713192783427E-2</v>
      </c>
      <c r="J49" s="51">
        <f t="shared" si="3"/>
        <v>6.9212673721842739E-3</v>
      </c>
      <c r="K49" s="52">
        <v>2008</v>
      </c>
      <c r="L49" s="52">
        <f t="shared" si="4"/>
        <v>13</v>
      </c>
      <c r="M49" s="52">
        <v>4</v>
      </c>
      <c r="N49" s="53">
        <v>2</v>
      </c>
      <c r="O49" s="52" t="s">
        <v>147</v>
      </c>
    </row>
    <row r="50" spans="1:15" s="22" customFormat="1" ht="30" x14ac:dyDescent="0.25">
      <c r="A50" s="18" t="s">
        <v>217</v>
      </c>
      <c r="B50" s="21">
        <f>23631000+706000+84000+11000+111000+64000</f>
        <v>24607000</v>
      </c>
      <c r="C50" s="21">
        <f>23716000+723000+82000+34000+183000</f>
        <v>24738000</v>
      </c>
      <c r="D50" s="21">
        <f>26542000+824000+377000+67000+129000+1270000+14000</f>
        <v>29223000</v>
      </c>
      <c r="E50" s="21">
        <f>32750000+850000+677000+28000+114000</f>
        <v>34419000</v>
      </c>
      <c r="F50" s="50"/>
      <c r="G50" s="51">
        <f t="shared" si="5"/>
        <v>5.3236883813549962E-3</v>
      </c>
      <c r="H50" s="51">
        <f t="shared" si="6"/>
        <v>0.18130002425418379</v>
      </c>
      <c r="I50" s="51">
        <f t="shared" si="7"/>
        <v>0.17780515347500248</v>
      </c>
      <c r="J50" s="51">
        <f t="shared" si="3"/>
        <v>0.12147628870351375</v>
      </c>
      <c r="K50" s="52">
        <v>1990</v>
      </c>
      <c r="L50" s="52">
        <f t="shared" si="4"/>
        <v>31</v>
      </c>
      <c r="M50" s="52">
        <v>1</v>
      </c>
      <c r="N50" s="53">
        <v>2</v>
      </c>
      <c r="O50" s="52" t="s">
        <v>5</v>
      </c>
    </row>
    <row r="51" spans="1:15" s="22" customFormat="1" ht="30" x14ac:dyDescent="0.25">
      <c r="A51" s="18" t="s">
        <v>222</v>
      </c>
      <c r="B51" s="21">
        <f>5498620+328566+48168</f>
        <v>5875354</v>
      </c>
      <c r="C51" s="21">
        <f>5743779+87553+16440</f>
        <v>5847772</v>
      </c>
      <c r="D51" s="21">
        <f>6719473+126290+21601</f>
        <v>6867364</v>
      </c>
      <c r="E51" s="21">
        <f>7154913+107652+38253</f>
        <v>7300818</v>
      </c>
      <c r="F51" s="50"/>
      <c r="G51" s="51">
        <f t="shared" si="5"/>
        <v>-4.6945256404975488E-3</v>
      </c>
      <c r="H51" s="51">
        <f t="shared" si="6"/>
        <v>0.17435563493241535</v>
      </c>
      <c r="I51" s="51">
        <f t="shared" si="7"/>
        <v>6.3117959088814901E-2</v>
      </c>
      <c r="J51" s="51">
        <f t="shared" si="3"/>
        <v>7.7593022793577562E-2</v>
      </c>
      <c r="K51" s="52">
        <v>1966</v>
      </c>
      <c r="L51" s="52">
        <f t="shared" si="4"/>
        <v>55</v>
      </c>
      <c r="M51" s="52">
        <v>1</v>
      </c>
      <c r="N51" s="52">
        <v>1</v>
      </c>
      <c r="O51" s="52" t="s">
        <v>17</v>
      </c>
    </row>
    <row r="52" spans="1:15" s="15" customFormat="1" x14ac:dyDescent="0.25">
      <c r="A52" s="11" t="s">
        <v>225</v>
      </c>
      <c r="B52" s="14">
        <f>15317000+546000</f>
        <v>15863000</v>
      </c>
      <c r="C52" s="14">
        <f>8808000+385000</f>
        <v>9193000</v>
      </c>
      <c r="D52" s="14">
        <f>10463000+275000</f>
        <v>10738000</v>
      </c>
      <c r="E52" s="14">
        <f>7481000+134000</f>
        <v>7615000</v>
      </c>
      <c r="F52" s="47"/>
      <c r="G52" s="45">
        <f t="shared" si="5"/>
        <v>-0.42047531992687381</v>
      </c>
      <c r="H52" s="45">
        <f t="shared" si="6"/>
        <v>0.16806265636897644</v>
      </c>
      <c r="I52" s="45">
        <f t="shared" si="7"/>
        <v>-0.29083628236170611</v>
      </c>
      <c r="J52" s="45">
        <f t="shared" si="3"/>
        <v>-0.18108298197320116</v>
      </c>
      <c r="K52" s="39">
        <v>1989</v>
      </c>
      <c r="L52" s="39">
        <f t="shared" si="4"/>
        <v>32</v>
      </c>
      <c r="M52" s="39">
        <v>3</v>
      </c>
      <c r="N52" s="39">
        <v>1</v>
      </c>
      <c r="O52" s="39" t="s">
        <v>223</v>
      </c>
    </row>
    <row r="53" spans="1:15" s="22" customFormat="1" ht="45" x14ac:dyDescent="0.25">
      <c r="A53" s="18" t="s">
        <v>227</v>
      </c>
      <c r="B53" s="21">
        <f>22062057</f>
        <v>22062057</v>
      </c>
      <c r="C53" s="21">
        <f>23966053</f>
        <v>23966053</v>
      </c>
      <c r="D53" s="21">
        <f>25051779</f>
        <v>25051779</v>
      </c>
      <c r="E53" s="21">
        <f>23940633</f>
        <v>23940633</v>
      </c>
      <c r="F53" s="50"/>
      <c r="G53" s="51">
        <f t="shared" si="5"/>
        <v>8.6301834865171401E-2</v>
      </c>
      <c r="H53" s="51">
        <f t="shared" si="6"/>
        <v>4.5302662061208032E-2</v>
      </c>
      <c r="I53" s="51">
        <f t="shared" si="7"/>
        <v>-4.4353975819441782E-2</v>
      </c>
      <c r="J53" s="51">
        <f t="shared" si="3"/>
        <v>2.9083507035645884E-2</v>
      </c>
      <c r="K53" s="52">
        <v>2008</v>
      </c>
      <c r="L53" s="52">
        <f t="shared" si="4"/>
        <v>13</v>
      </c>
      <c r="M53" s="52">
        <v>5</v>
      </c>
      <c r="N53" s="52">
        <v>1</v>
      </c>
      <c r="O53" s="52" t="s">
        <v>5</v>
      </c>
    </row>
    <row r="54" spans="1:15" s="22" customFormat="1" x14ac:dyDescent="0.25">
      <c r="A54" s="18" t="s">
        <v>233</v>
      </c>
      <c r="B54" s="21">
        <v>8957357.7899999991</v>
      </c>
      <c r="C54" s="21">
        <v>8380595.3200000003</v>
      </c>
      <c r="D54" s="21">
        <v>9053664.2899999991</v>
      </c>
      <c r="E54" s="21">
        <v>10870293.029999999</v>
      </c>
      <c r="F54" s="50"/>
      <c r="G54" s="51">
        <f t="shared" si="5"/>
        <v>-6.4389799260212266E-2</v>
      </c>
      <c r="H54" s="51">
        <f t="shared" si="6"/>
        <v>8.0312787373677752E-2</v>
      </c>
      <c r="I54" s="51">
        <f t="shared" si="7"/>
        <v>0.20065121500103689</v>
      </c>
      <c r="J54" s="51">
        <f t="shared" si="3"/>
        <v>7.2191401038167458E-2</v>
      </c>
      <c r="K54" s="52">
        <v>1987</v>
      </c>
      <c r="L54" s="52">
        <f t="shared" si="4"/>
        <v>34</v>
      </c>
      <c r="M54" s="52">
        <v>1</v>
      </c>
      <c r="N54" s="52">
        <v>1</v>
      </c>
      <c r="O54" s="52" t="s">
        <v>5</v>
      </c>
    </row>
    <row r="55" spans="1:15" s="22" customFormat="1" x14ac:dyDescent="0.25">
      <c r="A55" s="18" t="s">
        <v>237</v>
      </c>
      <c r="B55" s="21">
        <f>4500636+105345</f>
        <v>4605981</v>
      </c>
      <c r="C55" s="21">
        <f>5210397+196242</f>
        <v>5406639</v>
      </c>
      <c r="D55" s="21">
        <f>6115569+9309+4406</f>
        <v>6129284</v>
      </c>
      <c r="E55" s="21">
        <f>5670772+35242+65000</f>
        <v>5771014</v>
      </c>
      <c r="F55" s="50"/>
      <c r="G55" s="51">
        <f t="shared" si="5"/>
        <v>0.17383007007627693</v>
      </c>
      <c r="H55" s="51">
        <f t="shared" si="6"/>
        <v>0.13365882205192547</v>
      </c>
      <c r="I55" s="51">
        <f t="shared" si="7"/>
        <v>-5.8452178101063734E-2</v>
      </c>
      <c r="J55" s="51">
        <f t="shared" si="3"/>
        <v>8.3012238009046224E-2</v>
      </c>
      <c r="K55" s="52">
        <v>1994</v>
      </c>
      <c r="L55" s="52">
        <f t="shared" si="4"/>
        <v>27</v>
      </c>
      <c r="M55" s="52">
        <v>1</v>
      </c>
      <c r="N55" s="52">
        <v>1</v>
      </c>
      <c r="O55" s="52" t="s">
        <v>5</v>
      </c>
    </row>
    <row r="56" spans="1:15" s="22" customFormat="1" x14ac:dyDescent="0.25">
      <c r="A56" s="18" t="s">
        <v>244</v>
      </c>
      <c r="B56" s="21">
        <f>6872147.5+195123.98+711758.77</f>
        <v>7779030.25</v>
      </c>
      <c r="C56" s="21">
        <f>7252806.66+72778.71+27107.42</f>
        <v>7352692.79</v>
      </c>
      <c r="D56" s="21">
        <f>8092102.62+87210.64</f>
        <v>8179313.2599999998</v>
      </c>
      <c r="E56" s="21">
        <f>40593.94+10016185.57</f>
        <v>10056779.51</v>
      </c>
      <c r="F56" s="50"/>
      <c r="G56" s="51">
        <f t="shared" si="5"/>
        <v>-5.4805990759580814E-2</v>
      </c>
      <c r="H56" s="51">
        <f t="shared" si="6"/>
        <v>0.11242418167181434</v>
      </c>
      <c r="I56" s="51">
        <f t="shared" si="7"/>
        <v>0.22953837202709115</v>
      </c>
      <c r="J56" s="51">
        <f t="shared" si="3"/>
        <v>9.5718854313108226E-2</v>
      </c>
      <c r="K56" s="52">
        <v>1995</v>
      </c>
      <c r="L56" s="52">
        <f t="shared" si="4"/>
        <v>26</v>
      </c>
      <c r="M56" s="52">
        <v>3</v>
      </c>
      <c r="N56" s="52">
        <v>1</v>
      </c>
      <c r="O56" s="52" t="s">
        <v>239</v>
      </c>
    </row>
    <row r="57" spans="1:15" s="22" customFormat="1" x14ac:dyDescent="0.25">
      <c r="A57" s="18" t="s">
        <v>248</v>
      </c>
      <c r="B57" s="21">
        <f>1037171+750595+641230+7882+20662</f>
        <v>2457540</v>
      </c>
      <c r="C57" s="21">
        <f>2441803+745071+1368977+33869+44306</f>
        <v>4634026</v>
      </c>
      <c r="D57" s="21">
        <f>2310770+2271602+1296627+3026+147779</f>
        <v>6029804</v>
      </c>
      <c r="E57" s="21">
        <f>1666983+2592705+1113597+1716+50689</f>
        <v>5425690</v>
      </c>
      <c r="F57" s="50"/>
      <c r="G57" s="51">
        <f t="shared" si="5"/>
        <v>0.88563604254661166</v>
      </c>
      <c r="H57" s="51">
        <f t="shared" si="6"/>
        <v>0.30120202174092237</v>
      </c>
      <c r="I57" s="51">
        <f t="shared" si="7"/>
        <v>-0.10018799947726331</v>
      </c>
      <c r="J57" s="51">
        <f t="shared" si="3"/>
        <v>0.36221668827009018</v>
      </c>
      <c r="K57" s="52">
        <v>1949</v>
      </c>
      <c r="L57" s="52">
        <f t="shared" si="4"/>
        <v>72</v>
      </c>
      <c r="M57" s="52">
        <v>1</v>
      </c>
      <c r="N57" s="52">
        <v>1</v>
      </c>
      <c r="O57" s="52" t="s">
        <v>245</v>
      </c>
    </row>
    <row r="58" spans="1:15" s="22" customFormat="1" x14ac:dyDescent="0.25">
      <c r="A58" s="18" t="s">
        <v>251</v>
      </c>
      <c r="B58" s="21">
        <f>6633793</f>
        <v>6633793</v>
      </c>
      <c r="C58" s="21">
        <f>2899630</f>
        <v>2899630</v>
      </c>
      <c r="D58" s="21">
        <f>2348390.87</f>
        <v>2348390.87</v>
      </c>
      <c r="E58" s="21">
        <f>4904944.52</f>
        <v>4904944.5199999996</v>
      </c>
      <c r="F58" s="50"/>
      <c r="G58" s="51">
        <f t="shared" si="5"/>
        <v>-0.56290013872907996</v>
      </c>
      <c r="H58" s="51">
        <f t="shared" si="6"/>
        <v>-0.19010671361518539</v>
      </c>
      <c r="I58" s="51">
        <f t="shared" si="7"/>
        <v>1.0886406018091868</v>
      </c>
      <c r="J58" s="51">
        <f t="shared" si="3"/>
        <v>0.11187791648830714</v>
      </c>
      <c r="K58" s="52">
        <v>2001</v>
      </c>
      <c r="L58" s="52">
        <f t="shared" si="4"/>
        <v>20</v>
      </c>
      <c r="M58" s="52">
        <v>2</v>
      </c>
      <c r="N58" s="52">
        <v>1</v>
      </c>
      <c r="O58" s="52" t="s">
        <v>5</v>
      </c>
    </row>
    <row r="59" spans="1:15" ht="30" x14ac:dyDescent="0.25">
      <c r="A59" s="4" t="s">
        <v>255</v>
      </c>
      <c r="B59" s="5">
        <f>14063573.91+92903.24</f>
        <v>14156477.15</v>
      </c>
      <c r="C59" s="5">
        <f>13496617.38+3965355.29+114774.25</f>
        <v>17576746.920000002</v>
      </c>
      <c r="D59" s="5">
        <f>14542452.09+906755.73</f>
        <v>15449207.82</v>
      </c>
      <c r="E59" s="5">
        <f>11372840.54+632675.55</f>
        <v>12005516.09</v>
      </c>
      <c r="F59" s="48"/>
      <c r="G59" s="45">
        <f t="shared" si="5"/>
        <v>0.24160458380706684</v>
      </c>
      <c r="H59" s="45">
        <f t="shared" si="6"/>
        <v>-0.12104282491427043</v>
      </c>
      <c r="I59" s="45">
        <f t="shared" si="7"/>
        <v>-0.22290409774551145</v>
      </c>
      <c r="J59" s="45">
        <f t="shared" si="3"/>
        <v>-3.4114112950905016E-2</v>
      </c>
      <c r="K59" s="39">
        <v>1988</v>
      </c>
      <c r="L59" s="39">
        <f t="shared" si="4"/>
        <v>33</v>
      </c>
      <c r="M59" s="39">
        <v>4</v>
      </c>
      <c r="N59" s="39">
        <v>1</v>
      </c>
      <c r="O59" s="39" t="s">
        <v>253</v>
      </c>
    </row>
    <row r="60" spans="1:15" s="22" customFormat="1" ht="45" x14ac:dyDescent="0.25">
      <c r="A60" s="18" t="s">
        <v>258</v>
      </c>
      <c r="B60" s="21">
        <v>11942958</v>
      </c>
      <c r="C60" s="21">
        <v>14266344</v>
      </c>
      <c r="D60" s="21">
        <v>16427062</v>
      </c>
      <c r="E60" s="21">
        <v>11685911</v>
      </c>
      <c r="F60" s="50"/>
      <c r="G60" s="51">
        <f t="shared" si="5"/>
        <v>0.19454024706442063</v>
      </c>
      <c r="H60" s="51">
        <f t="shared" si="6"/>
        <v>0.15145562170658433</v>
      </c>
      <c r="I60" s="51">
        <f t="shared" si="7"/>
        <v>-0.28861831774908986</v>
      </c>
      <c r="J60" s="51">
        <f t="shared" si="3"/>
        <v>1.9125850340638368E-2</v>
      </c>
      <c r="K60" s="52">
        <v>1942</v>
      </c>
      <c r="L60" s="52">
        <f t="shared" si="4"/>
        <v>79</v>
      </c>
      <c r="M60" s="52">
        <v>1</v>
      </c>
      <c r="N60" s="52">
        <v>1</v>
      </c>
      <c r="O60" s="52" t="s">
        <v>5</v>
      </c>
    </row>
    <row r="61" spans="1:15" ht="30" x14ac:dyDescent="0.25">
      <c r="A61" s="4" t="s">
        <v>261</v>
      </c>
      <c r="B61" s="5">
        <f>10046091+27891+303242</f>
        <v>10377224</v>
      </c>
      <c r="C61" s="5">
        <f>10055370+10115+221252</f>
        <v>10286737</v>
      </c>
      <c r="D61" s="5">
        <f>9852209+293518+202675</f>
        <v>10348402</v>
      </c>
      <c r="E61" s="5">
        <f>8949978+52321+89636</f>
        <v>9091935</v>
      </c>
      <c r="F61" s="48"/>
      <c r="G61" s="45">
        <f t="shared" si="5"/>
        <v>-8.7197693718473746E-3</v>
      </c>
      <c r="H61" s="45">
        <f t="shared" si="6"/>
        <v>5.9946122857035267E-3</v>
      </c>
      <c r="I61" s="45">
        <f t="shared" si="7"/>
        <v>-0.12141652401984382</v>
      </c>
      <c r="J61" s="45">
        <f t="shared" si="3"/>
        <v>-4.1380560368662556E-2</v>
      </c>
      <c r="K61" s="39">
        <v>1998</v>
      </c>
      <c r="L61" s="39">
        <f t="shared" si="4"/>
        <v>23</v>
      </c>
      <c r="M61" s="39">
        <v>3</v>
      </c>
      <c r="N61" s="39">
        <v>1</v>
      </c>
      <c r="O61" s="39" t="s">
        <v>5</v>
      </c>
    </row>
    <row r="62" spans="1:15" s="22" customFormat="1" x14ac:dyDescent="0.25">
      <c r="A62" s="18" t="s">
        <v>264</v>
      </c>
      <c r="B62" s="21">
        <v>6695786</v>
      </c>
      <c r="C62" s="21">
        <v>6108141</v>
      </c>
      <c r="D62" s="21">
        <v>6388905</v>
      </c>
      <c r="E62" s="21">
        <v>11444676</v>
      </c>
      <c r="F62" s="50"/>
      <c r="G62" s="51">
        <f t="shared" si="5"/>
        <v>-8.7763408209282634E-2</v>
      </c>
      <c r="H62" s="51">
        <f t="shared" si="6"/>
        <v>4.5965540088219958E-2</v>
      </c>
      <c r="I62" s="51">
        <f t="shared" si="7"/>
        <v>0.79133607402207429</v>
      </c>
      <c r="J62" s="51">
        <f t="shared" si="3"/>
        <v>0.24984606863367054</v>
      </c>
      <c r="K62" s="52">
        <v>1964</v>
      </c>
      <c r="L62" s="52">
        <f t="shared" si="4"/>
        <v>57</v>
      </c>
      <c r="M62" s="52">
        <v>3</v>
      </c>
      <c r="N62" s="52">
        <v>1</v>
      </c>
      <c r="O62" s="52" t="s">
        <v>17</v>
      </c>
    </row>
    <row r="63" spans="1:15" s="22" customFormat="1" ht="30" x14ac:dyDescent="0.25">
      <c r="A63" s="18" t="s">
        <v>270</v>
      </c>
      <c r="B63" s="21">
        <f>1367145+33008</f>
        <v>1400153</v>
      </c>
      <c r="C63" s="21">
        <f>1347909+4811</f>
        <v>1352720</v>
      </c>
      <c r="D63" s="21">
        <f>1490854+5463</f>
        <v>1496317</v>
      </c>
      <c r="E63" s="21">
        <f>2144018+11759</f>
        <v>2155777</v>
      </c>
      <c r="F63" s="50"/>
      <c r="G63" s="51">
        <f t="shared" si="5"/>
        <v>-3.3877012012258678E-2</v>
      </c>
      <c r="H63" s="51">
        <f t="shared" si="6"/>
        <v>0.10615426695842456</v>
      </c>
      <c r="I63" s="51">
        <f t="shared" si="7"/>
        <v>0.44072211971126429</v>
      </c>
      <c r="J63" s="51">
        <f t="shared" si="3"/>
        <v>0.17099979155247672</v>
      </c>
      <c r="K63" s="52">
        <v>2000</v>
      </c>
      <c r="L63" s="52">
        <f t="shared" si="4"/>
        <v>21</v>
      </c>
      <c r="M63" s="52">
        <v>2</v>
      </c>
      <c r="N63" s="52">
        <v>1</v>
      </c>
      <c r="O63" s="52" t="s">
        <v>35</v>
      </c>
    </row>
    <row r="64" spans="1:15" s="15" customFormat="1" ht="72.599999999999994" customHeight="1" x14ac:dyDescent="0.25">
      <c r="A64" s="11" t="s">
        <v>274</v>
      </c>
      <c r="B64" s="14">
        <f>25921151+64744+3</f>
        <v>25985898</v>
      </c>
      <c r="C64" s="14">
        <f>27008852+111114+77764</f>
        <v>27197730</v>
      </c>
      <c r="D64" s="14">
        <f>5257258+8153609</f>
        <v>13410867</v>
      </c>
      <c r="E64" s="14">
        <f>10464409</f>
        <v>10464409</v>
      </c>
      <c r="F64" s="47"/>
      <c r="G64" s="45">
        <f t="shared" si="5"/>
        <v>4.6634216758643543E-2</v>
      </c>
      <c r="H64" s="45">
        <f t="shared" si="6"/>
        <v>-0.50691226804589939</v>
      </c>
      <c r="I64" s="45">
        <f t="shared" si="7"/>
        <v>-0.21970674975749149</v>
      </c>
      <c r="J64" s="45">
        <f t="shared" si="3"/>
        <v>-0.22666160034824911</v>
      </c>
      <c r="K64" s="39">
        <v>1999</v>
      </c>
      <c r="L64" s="39">
        <f t="shared" si="4"/>
        <v>22</v>
      </c>
      <c r="M64" s="39">
        <v>3</v>
      </c>
      <c r="N64" s="39">
        <v>1</v>
      </c>
      <c r="O64" s="39" t="s">
        <v>5</v>
      </c>
    </row>
    <row r="65" spans="1:22" s="22" customFormat="1" ht="45" x14ac:dyDescent="0.25">
      <c r="A65" s="18" t="s">
        <v>281</v>
      </c>
      <c r="B65" s="21">
        <f>21248671.21+8423232.8+2559.07+136056.45</f>
        <v>29810519.530000001</v>
      </c>
      <c r="C65" s="21">
        <f>20918822.33+9691801.95+555947.46+96311.63</f>
        <v>31262883.369999997</v>
      </c>
      <c r="D65" s="21">
        <f>23714267.53+9691801.95+1694326.84+77001.84</f>
        <v>35177398.160000004</v>
      </c>
      <c r="E65" s="21">
        <f>26926398.13+12061764.9+704464.12+20695.99</f>
        <v>39713323.140000001</v>
      </c>
      <c r="F65" s="50"/>
      <c r="G65" s="51">
        <f t="shared" si="5"/>
        <v>4.8719843293519194E-2</v>
      </c>
      <c r="H65" s="51">
        <f t="shared" si="6"/>
        <v>0.12521285204794608</v>
      </c>
      <c r="I65" s="51">
        <f t="shared" si="7"/>
        <v>0.12894429995558254</v>
      </c>
      <c r="J65" s="51">
        <f t="shared" si="3"/>
        <v>0.10095899843234928</v>
      </c>
      <c r="K65" s="52">
        <v>1992</v>
      </c>
      <c r="L65" s="52">
        <f t="shared" si="4"/>
        <v>29</v>
      </c>
      <c r="M65" s="52">
        <v>6</v>
      </c>
      <c r="N65" s="52">
        <v>1</v>
      </c>
      <c r="O65" s="52" t="s">
        <v>273</v>
      </c>
    </row>
    <row r="66" spans="1:22" s="22" customFormat="1" ht="30" x14ac:dyDescent="0.25">
      <c r="A66" s="18" t="s">
        <v>289</v>
      </c>
      <c r="B66" s="21">
        <f>7999146</f>
        <v>7999146</v>
      </c>
      <c r="C66" s="21">
        <f>9178877+81928</f>
        <v>9260805</v>
      </c>
      <c r="D66" s="21">
        <f>8171288.96</f>
        <v>8171288.96</v>
      </c>
      <c r="E66" s="21">
        <v>8514181.2400000002</v>
      </c>
      <c r="F66" s="50"/>
      <c r="G66" s="51">
        <f t="shared" ref="G66:G73" si="8">((C66/B66)-1)</f>
        <v>0.15772421205963738</v>
      </c>
      <c r="H66" s="51">
        <f t="shared" ref="H66:H73" si="9">((D66/C66)-1)</f>
        <v>-0.11764809214749694</v>
      </c>
      <c r="I66" s="51">
        <f t="shared" ref="I66:I73" si="10">((E66/D66)-1)</f>
        <v>4.1963058910108542E-2</v>
      </c>
      <c r="J66" s="51">
        <f t="shared" si="3"/>
        <v>2.7346392940749659E-2</v>
      </c>
      <c r="K66" s="52">
        <v>1976</v>
      </c>
      <c r="L66" s="52">
        <f t="shared" si="4"/>
        <v>45</v>
      </c>
      <c r="M66" s="52">
        <v>1</v>
      </c>
      <c r="N66" s="52">
        <v>1</v>
      </c>
      <c r="O66" s="52" t="s">
        <v>17</v>
      </c>
    </row>
    <row r="67" spans="1:22" s="22" customFormat="1" ht="45" x14ac:dyDescent="0.25">
      <c r="A67" s="18" t="s">
        <v>295</v>
      </c>
      <c r="B67" s="21">
        <f>18431929.71</f>
        <v>18431929.710000001</v>
      </c>
      <c r="C67" s="21">
        <v>19205708.149999999</v>
      </c>
      <c r="D67" s="21">
        <v>27337875.350000001</v>
      </c>
      <c r="E67" s="21">
        <v>21102528.09</v>
      </c>
      <c r="F67" s="50"/>
      <c r="G67" s="51">
        <f t="shared" si="8"/>
        <v>4.1980327191688094E-2</v>
      </c>
      <c r="H67" s="51">
        <f t="shared" si="9"/>
        <v>0.4234244911193239</v>
      </c>
      <c r="I67" s="51">
        <f t="shared" si="10"/>
        <v>-0.22808455961446916</v>
      </c>
      <c r="J67" s="51">
        <f t="shared" ref="J67:J73" si="11">AVERAGE(G67:I67)</f>
        <v>7.910675289884761E-2</v>
      </c>
      <c r="K67" s="52">
        <v>2002</v>
      </c>
      <c r="L67" s="52">
        <f t="shared" ref="L67:L74" si="12">2021-K67</f>
        <v>19</v>
      </c>
      <c r="M67" s="52">
        <v>3</v>
      </c>
      <c r="N67" s="52">
        <v>1</v>
      </c>
      <c r="O67" s="52" t="s">
        <v>5</v>
      </c>
    </row>
    <row r="68" spans="1:22" s="22" customFormat="1" ht="45" x14ac:dyDescent="0.25">
      <c r="A68" s="18" t="s">
        <v>300</v>
      </c>
      <c r="B68" s="21">
        <f>23241076+7356472+966657</f>
        <v>31564205</v>
      </c>
      <c r="C68" s="21">
        <f>32179719+11113476+432052</f>
        <v>43725247</v>
      </c>
      <c r="D68" s="21">
        <f>38641510+17628490+529314</f>
        <v>56799314</v>
      </c>
      <c r="E68" s="21">
        <f>61279632+15668641+361206</f>
        <v>77309479</v>
      </c>
      <c r="F68" s="50"/>
      <c r="G68" s="51">
        <f t="shared" si="8"/>
        <v>0.38527952787025677</v>
      </c>
      <c r="H68" s="51">
        <f t="shared" si="9"/>
        <v>0.29900498903985606</v>
      </c>
      <c r="I68" s="51">
        <f t="shared" si="10"/>
        <v>0.36109881538358013</v>
      </c>
      <c r="J68" s="51">
        <f t="shared" si="11"/>
        <v>0.34846111076456432</v>
      </c>
      <c r="K68" s="52">
        <v>1969</v>
      </c>
      <c r="L68" s="52">
        <f t="shared" si="12"/>
        <v>52</v>
      </c>
      <c r="M68" s="52">
        <v>3</v>
      </c>
      <c r="N68" s="52">
        <v>1</v>
      </c>
      <c r="O68" s="52" t="s">
        <v>297</v>
      </c>
    </row>
    <row r="69" spans="1:22" s="22" customFormat="1" x14ac:dyDescent="0.25">
      <c r="A69" s="18" t="s">
        <v>304</v>
      </c>
      <c r="B69" s="21">
        <f>49662161+106166</f>
        <v>49768327</v>
      </c>
      <c r="C69" s="21">
        <f>54094280+385998</f>
        <v>54480278</v>
      </c>
      <c r="D69" s="21">
        <f>56572256+509952</f>
        <v>57082208</v>
      </c>
      <c r="E69" s="21">
        <f>66960148+280822</f>
        <v>67240970</v>
      </c>
      <c r="F69" s="50"/>
      <c r="G69" s="51">
        <f t="shared" si="8"/>
        <v>9.4677705360680431E-2</v>
      </c>
      <c r="H69" s="51">
        <f t="shared" si="9"/>
        <v>4.7759117528732187E-2</v>
      </c>
      <c r="I69" s="51">
        <f t="shared" si="10"/>
        <v>0.17796722229105089</v>
      </c>
      <c r="J69" s="51">
        <f t="shared" si="11"/>
        <v>0.10680134839348783</v>
      </c>
      <c r="K69" s="52">
        <v>2002</v>
      </c>
      <c r="L69" s="52">
        <f t="shared" si="12"/>
        <v>19</v>
      </c>
      <c r="M69" s="52">
        <v>1</v>
      </c>
      <c r="N69" s="52">
        <v>1</v>
      </c>
      <c r="O69" s="52" t="s">
        <v>5</v>
      </c>
    </row>
    <row r="70" spans="1:22" s="22" customFormat="1" ht="30" x14ac:dyDescent="0.25">
      <c r="A70" s="18" t="s">
        <v>308</v>
      </c>
      <c r="B70" s="21">
        <f>1104515.88+18436.14</f>
        <v>1122952.0199999998</v>
      </c>
      <c r="C70" s="21">
        <f>1605962.72+225.45</f>
        <v>1606188.17</v>
      </c>
      <c r="D70" s="21">
        <f>1373081.9+47966.68</f>
        <v>1421048.5799999998</v>
      </c>
      <c r="E70" s="21">
        <f>2332463.79+34262.94</f>
        <v>2366726.73</v>
      </c>
      <c r="F70" s="50"/>
      <c r="G70" s="51">
        <f t="shared" si="8"/>
        <v>0.43032662250342657</v>
      </c>
      <c r="H70" s="51">
        <f t="shared" si="9"/>
        <v>-0.11526643855184171</v>
      </c>
      <c r="I70" s="51">
        <f t="shared" si="10"/>
        <v>0.66547911402156301</v>
      </c>
      <c r="J70" s="51">
        <f t="shared" si="11"/>
        <v>0.32684643265771596</v>
      </c>
      <c r="K70" s="52">
        <v>1967</v>
      </c>
      <c r="L70" s="52">
        <f t="shared" si="12"/>
        <v>54</v>
      </c>
      <c r="M70" s="52">
        <v>1</v>
      </c>
      <c r="N70" s="52">
        <v>1</v>
      </c>
      <c r="O70" s="52" t="s">
        <v>5</v>
      </c>
    </row>
    <row r="71" spans="1:22" s="22" customFormat="1" ht="30" x14ac:dyDescent="0.25">
      <c r="A71" s="18" t="s">
        <v>311</v>
      </c>
      <c r="B71" s="21">
        <f>15406000+230000</f>
        <v>15636000</v>
      </c>
      <c r="C71" s="21">
        <f>16140000+174000</f>
        <v>16314000</v>
      </c>
      <c r="D71" s="21">
        <f>19325000+257000</f>
        <v>19582000</v>
      </c>
      <c r="E71" s="21">
        <f>15315000+143000</f>
        <v>15458000</v>
      </c>
      <c r="F71" s="50"/>
      <c r="G71" s="51">
        <f t="shared" si="8"/>
        <v>4.3361473522639971E-2</v>
      </c>
      <c r="H71" s="51">
        <f t="shared" si="9"/>
        <v>0.20031874463650845</v>
      </c>
      <c r="I71" s="51">
        <f t="shared" si="10"/>
        <v>-0.21060157287304671</v>
      </c>
      <c r="J71" s="51">
        <f t="shared" si="11"/>
        <v>1.1026215095367239E-2</v>
      </c>
      <c r="K71" s="52">
        <v>2010</v>
      </c>
      <c r="L71" s="52">
        <f t="shared" si="12"/>
        <v>11</v>
      </c>
      <c r="M71" s="52">
        <v>1</v>
      </c>
      <c r="N71" s="52">
        <v>1</v>
      </c>
      <c r="O71" s="52" t="s">
        <v>51</v>
      </c>
    </row>
    <row r="72" spans="1:22" ht="60" x14ac:dyDescent="0.25">
      <c r="A72" s="4" t="s">
        <v>313</v>
      </c>
      <c r="B72" s="5">
        <f>7595104+403.16+227835.57+1189829.01+2254864.4</f>
        <v>11268036.140000001</v>
      </c>
      <c r="C72" s="5">
        <f>7852940.07+9345.1+8175.04+2209796.57+111234.02+538997.66</f>
        <v>10730488.459999999</v>
      </c>
      <c r="D72" s="5">
        <f>7739835.99+44591.73+10059.72+121844.3+169987.75+1393170.3</f>
        <v>9479489.790000001</v>
      </c>
      <c r="E72" s="5">
        <f>7552074.31+16199.93+65499.19+134802.14+1021002.17</f>
        <v>8789577.7400000002</v>
      </c>
      <c r="F72" s="48"/>
      <c r="G72" s="45">
        <f t="shared" si="8"/>
        <v>-4.7705533894391805E-2</v>
      </c>
      <c r="H72" s="45">
        <f t="shared" si="9"/>
        <v>-0.11658357162987887</v>
      </c>
      <c r="I72" s="45">
        <f t="shared" si="10"/>
        <v>-7.2779449662765061E-2</v>
      </c>
      <c r="J72" s="45">
        <f t="shared" si="11"/>
        <v>-7.9022851729011911E-2</v>
      </c>
      <c r="K72" s="39">
        <v>1967</v>
      </c>
      <c r="L72" s="39">
        <f t="shared" si="12"/>
        <v>54</v>
      </c>
      <c r="M72" s="39">
        <v>1</v>
      </c>
      <c r="N72" s="39">
        <v>1</v>
      </c>
      <c r="O72" s="39" t="s">
        <v>5</v>
      </c>
    </row>
    <row r="73" spans="1:22" s="22" customFormat="1" ht="60" x14ac:dyDescent="0.25">
      <c r="A73" s="18" t="s">
        <v>316</v>
      </c>
      <c r="B73" s="21">
        <f>2774994</f>
        <v>2774994</v>
      </c>
      <c r="C73" s="21">
        <v>3076184</v>
      </c>
      <c r="D73" s="21">
        <f>3634734+22182</f>
        <v>3656916</v>
      </c>
      <c r="E73" s="21">
        <f>4008178+10141</f>
        <v>4018319</v>
      </c>
      <c r="F73" s="50"/>
      <c r="G73" s="51">
        <f t="shared" si="8"/>
        <v>0.10853717161190257</v>
      </c>
      <c r="H73" s="51">
        <f t="shared" si="9"/>
        <v>0.18878324573562577</v>
      </c>
      <c r="I73" s="51">
        <f t="shared" si="10"/>
        <v>9.8827263191169745E-2</v>
      </c>
      <c r="J73" s="51">
        <f t="shared" si="11"/>
        <v>0.13204922684623269</v>
      </c>
      <c r="K73" s="52">
        <v>1986</v>
      </c>
      <c r="L73" s="52">
        <f t="shared" si="12"/>
        <v>35</v>
      </c>
      <c r="M73" s="52">
        <v>3</v>
      </c>
      <c r="N73" s="52">
        <v>1</v>
      </c>
      <c r="O73" s="52" t="s">
        <v>192</v>
      </c>
    </row>
    <row r="74" spans="1:22" s="91" customFormat="1" x14ac:dyDescent="0.25">
      <c r="A74" s="86"/>
      <c r="B74" s="87">
        <f>SUM(B2:B73)</f>
        <v>1751418664.8800004</v>
      </c>
      <c r="C74" s="87">
        <f>SUM(C2:C73)</f>
        <v>1845973923.8499999</v>
      </c>
      <c r="D74" s="87">
        <f>SUM(D2:D73)</f>
        <v>1984366440.3599997</v>
      </c>
      <c r="E74" s="87">
        <f>SUM(E2:E73)</f>
        <v>2103432740.2299998</v>
      </c>
      <c r="F74" s="93">
        <f>SUM(B74:E74)</f>
        <v>7685191769.3199997</v>
      </c>
      <c r="G74" s="94">
        <f>AVERAGE(G2:G73)</f>
        <v>6.6973501678238137E-2</v>
      </c>
      <c r="H74" s="94">
        <f>AVERAGE(H2:H73)</f>
        <v>0.15458506876633027</v>
      </c>
      <c r="I74" s="94">
        <f>AVERAGE(I2:I73)</f>
        <v>0.11865562251673928</v>
      </c>
      <c r="J74" s="94">
        <f>AVERAGE(J2:J73)</f>
        <v>0.11340473098710253</v>
      </c>
      <c r="K74" s="90">
        <v>2000</v>
      </c>
      <c r="L74" s="90">
        <f t="shared" si="12"/>
        <v>21</v>
      </c>
      <c r="M74" s="90">
        <v>1</v>
      </c>
      <c r="N74" s="90">
        <v>1</v>
      </c>
      <c r="O74" s="90" t="s">
        <v>5</v>
      </c>
      <c r="T74" s="91">
        <v>6.6973501678238137E-2</v>
      </c>
      <c r="U74" s="91">
        <v>0.15458506876633027</v>
      </c>
      <c r="V74" s="91">
        <v>0.11865562251673928</v>
      </c>
    </row>
    <row r="75" spans="1:22" x14ac:dyDescent="0.25">
      <c r="A75" s="4"/>
      <c r="B75" s="5"/>
      <c r="C75" s="5"/>
      <c r="D75" s="5"/>
      <c r="E75" s="5"/>
      <c r="F75" s="48"/>
      <c r="K75" s="39"/>
      <c r="L75" s="39">
        <f>AVERAGE(L2:L74)</f>
        <v>32.38356164383562</v>
      </c>
      <c r="M75" s="39"/>
      <c r="N75" s="39"/>
      <c r="O75" s="39"/>
      <c r="S75">
        <v>1751418664.8800004</v>
      </c>
      <c r="T75">
        <v>1845973923.8499999</v>
      </c>
      <c r="U75">
        <v>1984366440.3599997</v>
      </c>
      <c r="V75">
        <v>2103432740.2299998</v>
      </c>
    </row>
    <row r="76" spans="1:22" x14ac:dyDescent="0.25">
      <c r="A76" s="4"/>
      <c r="B76" s="5"/>
      <c r="C76" s="5"/>
      <c r="D76" s="5"/>
      <c r="E76" s="5"/>
      <c r="F76" s="48"/>
      <c r="K76" s="39"/>
      <c r="L76" s="39"/>
      <c r="M76" s="39"/>
      <c r="N76" s="39"/>
      <c r="O76" s="39"/>
    </row>
    <row r="77" spans="1:22" x14ac:dyDescent="0.25">
      <c r="A77" s="4"/>
      <c r="B77" s="5"/>
      <c r="C77" s="5"/>
      <c r="D77" s="5"/>
      <c r="E77" s="5"/>
      <c r="F77" s="48"/>
      <c r="K77" s="39"/>
      <c r="L77" s="39"/>
      <c r="M77" s="39"/>
      <c r="N77" s="39"/>
      <c r="O77" s="39"/>
      <c r="R77" s="95">
        <v>2017</v>
      </c>
      <c r="S77" s="97">
        <v>1751418664.8800004</v>
      </c>
      <c r="T77" s="100"/>
    </row>
    <row r="78" spans="1:22" x14ac:dyDescent="0.25">
      <c r="A78" s="4"/>
      <c r="B78" s="5"/>
      <c r="C78" s="5"/>
      <c r="D78" s="5"/>
      <c r="E78" s="5"/>
      <c r="F78" s="48"/>
      <c r="K78" s="39"/>
      <c r="L78" s="39"/>
      <c r="M78" s="39"/>
      <c r="N78" s="39"/>
      <c r="O78" s="39"/>
      <c r="R78" s="95">
        <v>2018</v>
      </c>
      <c r="S78" s="97">
        <v>1845973923.8499999</v>
      </c>
      <c r="T78" s="100">
        <v>6.6973501678238137E-2</v>
      </c>
    </row>
    <row r="79" spans="1:22" x14ac:dyDescent="0.25">
      <c r="A79" s="4"/>
      <c r="B79" s="5"/>
      <c r="C79" s="5"/>
      <c r="D79" s="5"/>
      <c r="E79" s="5"/>
      <c r="F79" s="48">
        <f>LOG(F74)</f>
        <v>9.8856547089624218</v>
      </c>
      <c r="K79" s="39"/>
      <c r="L79" s="39"/>
      <c r="M79" s="39"/>
      <c r="N79" s="39"/>
      <c r="O79" s="39"/>
      <c r="R79" s="95">
        <v>2019</v>
      </c>
      <c r="S79" s="97">
        <v>1984366440.3599997</v>
      </c>
      <c r="T79" s="100">
        <v>0.15458506876633027</v>
      </c>
    </row>
    <row r="80" spans="1:22" x14ac:dyDescent="0.25">
      <c r="A80" s="4"/>
      <c r="B80" s="5"/>
      <c r="C80" s="5"/>
      <c r="D80" s="5"/>
      <c r="E80" s="5"/>
      <c r="F80" s="48"/>
      <c r="K80" s="39"/>
      <c r="L80" s="39"/>
      <c r="M80" s="39"/>
      <c r="N80" s="39"/>
      <c r="O80" s="39"/>
      <c r="R80" s="95">
        <v>2020</v>
      </c>
      <c r="S80" s="97">
        <v>2103432740.2299998</v>
      </c>
      <c r="T80" s="100">
        <v>0.11865562251673928</v>
      </c>
    </row>
    <row r="81" spans="1:19" x14ac:dyDescent="0.25">
      <c r="A81" s="4"/>
      <c r="B81" s="5"/>
      <c r="C81" s="5"/>
      <c r="D81" s="5"/>
      <c r="E81" s="5"/>
      <c r="F81" s="48"/>
      <c r="K81" s="39"/>
      <c r="L81" s="39"/>
      <c r="M81" s="39"/>
      <c r="N81" s="39"/>
      <c r="O81" s="39"/>
      <c r="S81" s="49"/>
    </row>
    <row r="82" spans="1:19" x14ac:dyDescent="0.25">
      <c r="A82" s="4"/>
      <c r="B82" s="5"/>
      <c r="C82" s="5"/>
      <c r="D82" s="5"/>
      <c r="E82" s="5"/>
      <c r="F82" s="48"/>
      <c r="K82" s="39"/>
      <c r="L82" s="39"/>
      <c r="M82" s="39"/>
      <c r="N82" s="39"/>
      <c r="O82" s="39"/>
    </row>
    <row r="83" spans="1:19" x14ac:dyDescent="0.25">
      <c r="A83" s="4"/>
      <c r="B83" s="5"/>
      <c r="C83" s="5"/>
      <c r="D83" s="5"/>
      <c r="E83" s="5"/>
      <c r="F83" s="48"/>
      <c r="K83" s="39"/>
      <c r="L83" s="39"/>
      <c r="M83" s="39"/>
      <c r="N83" s="39"/>
      <c r="O83" s="39"/>
    </row>
    <row r="84" spans="1:19" x14ac:dyDescent="0.25">
      <c r="A84" s="4"/>
      <c r="B84" s="5"/>
      <c r="C84" s="5"/>
      <c r="D84" s="5"/>
      <c r="E84" s="5"/>
      <c r="F84" s="48"/>
      <c r="K84" s="39"/>
      <c r="L84" s="39"/>
      <c r="M84" s="39"/>
      <c r="N84" s="39"/>
      <c r="O84" s="39"/>
    </row>
    <row r="85" spans="1:19" x14ac:dyDescent="0.25">
      <c r="A85" s="4"/>
      <c r="B85" s="5"/>
      <c r="C85" s="5"/>
      <c r="D85" s="5"/>
      <c r="E85" s="5"/>
      <c r="F85" s="48"/>
      <c r="K85" s="39"/>
      <c r="L85" s="39"/>
      <c r="M85" s="39"/>
      <c r="N85" s="39"/>
      <c r="O85" s="39"/>
    </row>
    <row r="86" spans="1:19" x14ac:dyDescent="0.25">
      <c r="A86" s="4"/>
      <c r="B86" s="5"/>
      <c r="C86" s="5"/>
      <c r="D86" s="5"/>
      <c r="E86" s="5"/>
      <c r="F86" s="48"/>
      <c r="K86" s="39"/>
      <c r="L86" s="39"/>
      <c r="M86" s="39"/>
      <c r="N86" s="39"/>
      <c r="O86" s="39"/>
    </row>
    <row r="87" spans="1:19" x14ac:dyDescent="0.25">
      <c r="A87" s="4"/>
      <c r="B87" s="5"/>
      <c r="C87" s="5"/>
      <c r="D87" s="5"/>
      <c r="E87" s="5"/>
      <c r="F87" s="48"/>
      <c r="K87" s="39"/>
      <c r="L87" s="39"/>
      <c r="M87" s="39"/>
      <c r="N87" s="39"/>
      <c r="O87" s="39"/>
    </row>
    <row r="88" spans="1:19" x14ac:dyDescent="0.25">
      <c r="A88" s="4"/>
      <c r="B88" s="5"/>
      <c r="C88" s="5"/>
      <c r="D88" s="5"/>
      <c r="E88" s="5"/>
      <c r="F88" s="48"/>
      <c r="K88" s="39"/>
      <c r="L88" s="39"/>
      <c r="M88" s="39"/>
      <c r="N88" s="39"/>
      <c r="O88" s="39"/>
    </row>
    <row r="89" spans="1:19" x14ac:dyDescent="0.25">
      <c r="A89" s="4"/>
      <c r="B89" s="5"/>
      <c r="C89" s="5"/>
      <c r="D89" s="5"/>
      <c r="E89" s="5"/>
      <c r="F89" s="48"/>
      <c r="K89" s="39"/>
      <c r="L89" s="39"/>
      <c r="M89" s="39"/>
      <c r="N89" s="39"/>
      <c r="O89" s="39"/>
    </row>
    <row r="90" spans="1:19" x14ac:dyDescent="0.25">
      <c r="A90" s="4"/>
      <c r="B90" s="5"/>
      <c r="C90" s="5"/>
      <c r="D90" s="5"/>
      <c r="E90" s="5"/>
      <c r="F90" s="48"/>
      <c r="K90" s="39"/>
      <c r="L90" s="39"/>
      <c r="M90" s="39"/>
      <c r="N90" s="39"/>
      <c r="O90" s="39"/>
    </row>
    <row r="91" spans="1:19" x14ac:dyDescent="0.25">
      <c r="A91" s="4"/>
      <c r="B91" s="5"/>
      <c r="C91" s="5"/>
      <c r="D91" s="5"/>
      <c r="E91" s="5"/>
      <c r="F91" s="48"/>
      <c r="K91" s="39"/>
      <c r="L91" s="39"/>
      <c r="M91" s="39"/>
      <c r="N91" s="39"/>
      <c r="O91" s="39"/>
    </row>
    <row r="92" spans="1:19" x14ac:dyDescent="0.25">
      <c r="A92" s="4"/>
      <c r="B92" s="5"/>
      <c r="C92" s="5"/>
      <c r="D92" s="5"/>
      <c r="E92" s="5"/>
      <c r="F92" s="48"/>
      <c r="K92" s="39"/>
      <c r="L92" s="39"/>
      <c r="M92" s="39"/>
      <c r="N92" s="39"/>
      <c r="O92" s="39"/>
    </row>
    <row r="93" spans="1:19" x14ac:dyDescent="0.25">
      <c r="A93" s="4"/>
      <c r="B93" s="5"/>
      <c r="C93" s="5"/>
      <c r="D93" s="5"/>
      <c r="E93" s="5"/>
      <c r="F93" s="48"/>
      <c r="K93" s="39"/>
      <c r="L93" s="39"/>
      <c r="M93" s="39"/>
      <c r="N93" s="39"/>
      <c r="O93" s="39"/>
    </row>
    <row r="94" spans="1:19" x14ac:dyDescent="0.25">
      <c r="A94" s="4"/>
      <c r="B94" s="5"/>
      <c r="C94" s="5"/>
      <c r="D94" s="5"/>
      <c r="E94" s="5"/>
      <c r="F94" s="48"/>
      <c r="K94" s="39"/>
      <c r="L94" s="39"/>
      <c r="M94" s="39"/>
      <c r="N94" s="39"/>
      <c r="O94" s="39"/>
    </row>
    <row r="95" spans="1:19" x14ac:dyDescent="0.25">
      <c r="A95" s="4"/>
      <c r="B95" s="5"/>
      <c r="C95" s="5"/>
      <c r="D95" s="5"/>
      <c r="E95" s="5"/>
      <c r="F95" s="48"/>
      <c r="K95" s="39"/>
      <c r="L95" s="39"/>
      <c r="M95" s="39"/>
      <c r="N95" s="39"/>
      <c r="O95" s="39"/>
    </row>
    <row r="96" spans="1:19" x14ac:dyDescent="0.25">
      <c r="A96" s="4"/>
      <c r="B96" s="5"/>
      <c r="C96" s="5"/>
      <c r="D96" s="5"/>
      <c r="E96" s="5"/>
      <c r="F96" s="48"/>
      <c r="K96" s="39"/>
      <c r="L96" s="39"/>
      <c r="M96" s="39"/>
      <c r="N96" s="39"/>
      <c r="O96" s="39"/>
    </row>
    <row r="97" spans="1:15" x14ac:dyDescent="0.25">
      <c r="A97" s="4"/>
      <c r="B97" s="5"/>
      <c r="C97" s="5"/>
      <c r="D97" s="5"/>
      <c r="E97" s="5"/>
      <c r="F97" s="48"/>
      <c r="K97" s="39"/>
      <c r="L97" s="39"/>
      <c r="M97" s="39"/>
      <c r="N97" s="39"/>
      <c r="O97" s="39"/>
    </row>
    <row r="98" spans="1:15" x14ac:dyDescent="0.25">
      <c r="A98" s="4"/>
      <c r="B98" s="5"/>
      <c r="C98" s="5"/>
      <c r="D98" s="5"/>
      <c r="E98" s="5"/>
      <c r="F98" s="48"/>
      <c r="K98" s="39"/>
      <c r="L98" s="39"/>
      <c r="M98" s="39"/>
      <c r="N98" s="39"/>
      <c r="O98" s="39"/>
    </row>
    <row r="99" spans="1:15" x14ac:dyDescent="0.25">
      <c r="A99" s="4"/>
      <c r="B99" s="5"/>
      <c r="C99" s="5"/>
      <c r="D99" s="5"/>
      <c r="E99" s="5"/>
      <c r="F99" s="48"/>
      <c r="K99" s="39"/>
      <c r="L99" s="39"/>
      <c r="M99" s="39"/>
      <c r="N99" s="39"/>
      <c r="O99" s="39"/>
    </row>
    <row r="100" spans="1:15" x14ac:dyDescent="0.25">
      <c r="A100" s="4"/>
      <c r="B100" s="5"/>
      <c r="C100" s="5"/>
      <c r="D100" s="5"/>
      <c r="E100" s="5"/>
      <c r="F100" s="48"/>
      <c r="K100" s="39"/>
      <c r="L100" s="39"/>
      <c r="M100" s="39"/>
      <c r="N100" s="39"/>
      <c r="O100" s="39"/>
    </row>
    <row r="101" spans="1:15" x14ac:dyDescent="0.25">
      <c r="A101" s="4"/>
      <c r="B101" s="5"/>
      <c r="C101" s="5"/>
      <c r="D101" s="5"/>
      <c r="E101" s="5"/>
      <c r="F101" s="48"/>
      <c r="K101" s="39"/>
      <c r="L101" s="39"/>
      <c r="M101" s="39"/>
      <c r="N101" s="39"/>
      <c r="O101" s="39"/>
    </row>
    <row r="102" spans="1:15" x14ac:dyDescent="0.25">
      <c r="A102" s="4"/>
      <c r="B102" s="5"/>
      <c r="C102" s="5"/>
      <c r="D102" s="5"/>
      <c r="E102" s="5"/>
      <c r="F102" s="48"/>
      <c r="K102" s="39"/>
      <c r="L102" s="39"/>
      <c r="M102" s="39"/>
      <c r="N102" s="39"/>
      <c r="O102" s="39"/>
    </row>
    <row r="103" spans="1:15" x14ac:dyDescent="0.25">
      <c r="A103" s="4"/>
      <c r="B103" s="5"/>
      <c r="C103" s="5"/>
      <c r="D103" s="5"/>
      <c r="E103" s="5"/>
      <c r="F103" s="48"/>
      <c r="K103" s="39"/>
      <c r="L103" s="39"/>
      <c r="M103" s="39"/>
      <c r="N103" s="39"/>
      <c r="O103" s="39"/>
    </row>
    <row r="104" spans="1:15" x14ac:dyDescent="0.25">
      <c r="A104" s="4"/>
      <c r="B104" s="5"/>
      <c r="C104" s="5"/>
      <c r="D104" s="5"/>
      <c r="E104" s="5"/>
      <c r="F104" s="48"/>
      <c r="K104" s="39"/>
      <c r="L104" s="39"/>
      <c r="M104" s="39"/>
      <c r="N104" s="39"/>
      <c r="O104" s="39"/>
    </row>
    <row r="105" spans="1:15" x14ac:dyDescent="0.25">
      <c r="A105" s="4"/>
      <c r="B105" s="5"/>
      <c r="C105" s="5"/>
      <c r="D105" s="5"/>
      <c r="E105" s="5"/>
      <c r="F105" s="48"/>
      <c r="K105" s="39"/>
      <c r="L105" s="39"/>
      <c r="M105" s="39"/>
      <c r="N105" s="39"/>
      <c r="O105" s="39"/>
    </row>
    <row r="106" spans="1:15" x14ac:dyDescent="0.25">
      <c r="A106" s="4"/>
      <c r="B106" s="5"/>
      <c r="C106" s="5"/>
      <c r="D106" s="5"/>
      <c r="E106" s="5"/>
      <c r="F106" s="48"/>
      <c r="K106" s="39"/>
      <c r="L106" s="39"/>
      <c r="M106" s="39"/>
      <c r="N106" s="39"/>
      <c r="O106" s="39"/>
    </row>
    <row r="107" spans="1:15" x14ac:dyDescent="0.25">
      <c r="A107" s="4"/>
      <c r="B107" s="5"/>
      <c r="C107" s="5"/>
      <c r="D107" s="5"/>
      <c r="E107" s="5"/>
      <c r="F107" s="48"/>
      <c r="K107" s="39"/>
      <c r="L107" s="39"/>
      <c r="M107" s="39"/>
      <c r="N107" s="39"/>
      <c r="O107" s="39"/>
    </row>
    <row r="108" spans="1:15" x14ac:dyDescent="0.25">
      <c r="A108" s="4"/>
      <c r="B108" s="5"/>
      <c r="C108" s="5"/>
      <c r="D108" s="5"/>
      <c r="E108" s="5"/>
      <c r="F108" s="48"/>
      <c r="K108" s="39"/>
      <c r="L108" s="39"/>
      <c r="M108" s="39"/>
      <c r="N108" s="39"/>
      <c r="O108" s="39"/>
    </row>
    <row r="109" spans="1:15" x14ac:dyDescent="0.25">
      <c r="A109" s="4"/>
      <c r="B109" s="5"/>
      <c r="C109" s="5"/>
      <c r="D109" s="5"/>
      <c r="E109" s="5"/>
      <c r="F109" s="48"/>
      <c r="K109" s="39"/>
      <c r="L109" s="39"/>
      <c r="M109" s="39"/>
      <c r="N109" s="39"/>
      <c r="O109" s="39"/>
    </row>
    <row r="110" spans="1:15" x14ac:dyDescent="0.25">
      <c r="A110" s="4"/>
      <c r="B110" s="5"/>
      <c r="C110" s="5"/>
      <c r="D110" s="5"/>
      <c r="E110" s="5"/>
      <c r="F110" s="48"/>
      <c r="K110" s="39"/>
      <c r="L110" s="39"/>
      <c r="M110" s="39"/>
      <c r="N110" s="39"/>
      <c r="O110" s="39"/>
    </row>
    <row r="111" spans="1:15" x14ac:dyDescent="0.25">
      <c r="A111" s="4"/>
      <c r="B111" s="5"/>
      <c r="C111" s="5"/>
      <c r="D111" s="5"/>
      <c r="E111" s="5"/>
      <c r="F111" s="48"/>
      <c r="K111" s="39"/>
      <c r="L111" s="39"/>
      <c r="M111" s="39"/>
      <c r="N111" s="39"/>
      <c r="O111" s="39"/>
    </row>
    <row r="112" spans="1:15" x14ac:dyDescent="0.25">
      <c r="A112" s="4"/>
      <c r="B112" s="5"/>
      <c r="C112" s="5"/>
      <c r="D112" s="5"/>
      <c r="E112" s="5"/>
      <c r="F112" s="48"/>
      <c r="K112" s="39"/>
      <c r="L112" s="39"/>
      <c r="M112" s="39"/>
      <c r="N112" s="39"/>
      <c r="O112" s="39"/>
    </row>
    <row r="113" spans="1:15" x14ac:dyDescent="0.25">
      <c r="A113" s="4"/>
      <c r="B113" s="5"/>
      <c r="C113" s="5"/>
      <c r="D113" s="5"/>
      <c r="E113" s="5"/>
      <c r="F113" s="48"/>
      <c r="K113" s="39"/>
      <c r="L113" s="39"/>
      <c r="M113" s="39"/>
      <c r="N113" s="39"/>
      <c r="O113" s="39"/>
    </row>
    <row r="114" spans="1:15" x14ac:dyDescent="0.25">
      <c r="A114" s="4"/>
      <c r="B114" s="5"/>
      <c r="C114" s="5"/>
      <c r="D114" s="5"/>
      <c r="E114" s="5"/>
      <c r="F114" s="48"/>
      <c r="K114" s="39"/>
      <c r="L114" s="39"/>
      <c r="M114" s="39"/>
      <c r="N114" s="39"/>
      <c r="O114" s="39"/>
    </row>
    <row r="115" spans="1:15" x14ac:dyDescent="0.25">
      <c r="A115" s="4"/>
      <c r="B115" s="5"/>
      <c r="C115" s="5"/>
      <c r="D115" s="5"/>
      <c r="E115" s="5"/>
      <c r="F115" s="48"/>
      <c r="K115" s="39"/>
      <c r="L115" s="39"/>
      <c r="M115" s="39"/>
      <c r="N115" s="39"/>
      <c r="O115" s="39"/>
    </row>
    <row r="116" spans="1:15" x14ac:dyDescent="0.25">
      <c r="A116" s="4"/>
      <c r="B116" s="5"/>
      <c r="C116" s="5"/>
      <c r="D116" s="5"/>
      <c r="E116" s="5"/>
      <c r="F116" s="48"/>
      <c r="K116" s="39"/>
      <c r="L116" s="39"/>
      <c r="M116" s="39"/>
      <c r="N116" s="39"/>
      <c r="O116" s="39"/>
    </row>
    <row r="117" spans="1:15" x14ac:dyDescent="0.25">
      <c r="A117" s="4"/>
      <c r="B117" s="5"/>
      <c r="C117" s="5"/>
      <c r="D117" s="5"/>
      <c r="E117" s="5"/>
      <c r="F117" s="48"/>
      <c r="K117" s="39"/>
      <c r="L117" s="39"/>
      <c r="M117" s="39"/>
      <c r="N117" s="39"/>
      <c r="O117" s="39"/>
    </row>
    <row r="118" spans="1:15" x14ac:dyDescent="0.25">
      <c r="A118" s="4"/>
      <c r="B118" s="5"/>
      <c r="C118" s="5"/>
      <c r="D118" s="5"/>
      <c r="E118" s="5"/>
      <c r="F118" s="48"/>
      <c r="K118" s="39"/>
      <c r="L118" s="39"/>
      <c r="M118" s="39"/>
      <c r="N118" s="39"/>
      <c r="O118" s="39"/>
    </row>
    <row r="119" spans="1:15" x14ac:dyDescent="0.25">
      <c r="A119" s="4"/>
      <c r="B119" s="5"/>
      <c r="C119" s="5"/>
      <c r="D119" s="5"/>
      <c r="E119" s="5"/>
      <c r="F119" s="48"/>
      <c r="K119" s="39"/>
      <c r="L119" s="39"/>
      <c r="M119" s="39"/>
      <c r="N119" s="39"/>
      <c r="O119" s="39"/>
    </row>
    <row r="120" spans="1:15" x14ac:dyDescent="0.25">
      <c r="A120" s="4"/>
      <c r="B120" s="5"/>
      <c r="C120" s="5"/>
      <c r="D120" s="5"/>
      <c r="E120" s="5"/>
      <c r="F120" s="48"/>
      <c r="K120" s="39"/>
      <c r="L120" s="39"/>
      <c r="M120" s="39"/>
      <c r="N120" s="39"/>
      <c r="O120" s="39"/>
    </row>
    <row r="121" spans="1:15" x14ac:dyDescent="0.25">
      <c r="A121" s="4"/>
      <c r="B121" s="5"/>
      <c r="C121" s="5"/>
      <c r="D121" s="5"/>
      <c r="E121" s="5"/>
      <c r="F121" s="48"/>
      <c r="K121" s="39"/>
      <c r="L121" s="39"/>
      <c r="M121" s="39"/>
      <c r="N121" s="39"/>
      <c r="O121" s="39"/>
    </row>
    <row r="122" spans="1:15" x14ac:dyDescent="0.25">
      <c r="A122" s="4"/>
      <c r="B122" s="5"/>
      <c r="C122" s="5"/>
      <c r="D122" s="5"/>
      <c r="E122" s="5"/>
      <c r="F122" s="48"/>
      <c r="K122" s="39"/>
      <c r="L122" s="39"/>
      <c r="M122" s="39"/>
      <c r="N122" s="39"/>
      <c r="O122" s="39"/>
    </row>
    <row r="123" spans="1:15" x14ac:dyDescent="0.25">
      <c r="A123" s="4"/>
      <c r="B123" s="5"/>
      <c r="C123" s="5"/>
      <c r="D123" s="5"/>
      <c r="E123" s="5"/>
      <c r="F123" s="48"/>
      <c r="K123" s="39"/>
      <c r="L123" s="39"/>
      <c r="M123" s="39"/>
      <c r="N123" s="39"/>
      <c r="O123" s="39"/>
    </row>
    <row r="124" spans="1:15" x14ac:dyDescent="0.25">
      <c r="A124" s="4"/>
      <c r="B124" s="5"/>
      <c r="C124" s="5"/>
      <c r="D124" s="5"/>
      <c r="E124" s="5"/>
      <c r="F124" s="48"/>
      <c r="K124" s="39"/>
      <c r="L124" s="39"/>
      <c r="M124" s="39"/>
      <c r="N124" s="39"/>
      <c r="O124" s="39"/>
    </row>
    <row r="125" spans="1:15" x14ac:dyDescent="0.25">
      <c r="A125" s="4"/>
      <c r="B125" s="5"/>
      <c r="C125" s="5"/>
      <c r="D125" s="5"/>
      <c r="E125" s="5"/>
      <c r="F125" s="48"/>
      <c r="K125" s="39"/>
      <c r="L125" s="39"/>
      <c r="M125" s="39"/>
      <c r="N125" s="39"/>
      <c r="O125" s="39"/>
    </row>
    <row r="126" spans="1:15" x14ac:dyDescent="0.25">
      <c r="A126" s="4"/>
      <c r="B126" s="5"/>
      <c r="C126" s="5"/>
      <c r="D126" s="5"/>
      <c r="E126" s="5"/>
      <c r="F126" s="48"/>
      <c r="K126" s="39"/>
      <c r="L126" s="39"/>
      <c r="M126" s="39"/>
      <c r="N126" s="39"/>
      <c r="O126" s="39"/>
    </row>
    <row r="127" spans="1:15" x14ac:dyDescent="0.25">
      <c r="A127" s="4"/>
      <c r="B127" s="5"/>
      <c r="C127" s="5"/>
      <c r="D127" s="5"/>
      <c r="E127" s="5"/>
      <c r="F127" s="48"/>
      <c r="K127" s="39"/>
      <c r="L127" s="39"/>
      <c r="M127" s="39"/>
      <c r="N127" s="39"/>
      <c r="O127" s="39"/>
    </row>
    <row r="128" spans="1:15" x14ac:dyDescent="0.25">
      <c r="A128" s="4"/>
      <c r="B128" s="5"/>
      <c r="C128" s="5"/>
      <c r="D128" s="5"/>
      <c r="E128" s="5"/>
      <c r="F128" s="48"/>
      <c r="K128" s="39"/>
      <c r="L128" s="39"/>
      <c r="M128" s="39"/>
      <c r="N128" s="39"/>
      <c r="O128" s="39"/>
    </row>
    <row r="129" spans="1:15" x14ac:dyDescent="0.25">
      <c r="A129" s="4"/>
      <c r="B129" s="5"/>
      <c r="C129" s="5"/>
      <c r="D129" s="5"/>
      <c r="E129" s="5"/>
      <c r="F129" s="48"/>
      <c r="K129" s="39"/>
      <c r="L129" s="39"/>
      <c r="M129" s="39"/>
      <c r="N129" s="39"/>
      <c r="O129" s="39"/>
    </row>
    <row r="130" spans="1:15" x14ac:dyDescent="0.25">
      <c r="A130" s="4"/>
      <c r="B130" s="5"/>
      <c r="C130" s="5"/>
      <c r="D130" s="5"/>
      <c r="E130" s="5"/>
      <c r="F130" s="48"/>
      <c r="K130" s="39"/>
      <c r="L130" s="39"/>
      <c r="M130" s="39"/>
      <c r="N130" s="39"/>
      <c r="O130" s="39"/>
    </row>
    <row r="131" spans="1:15" x14ac:dyDescent="0.25">
      <c r="A131" s="4"/>
      <c r="B131" s="5"/>
      <c r="C131" s="5"/>
      <c r="D131" s="5"/>
      <c r="E131" s="5"/>
      <c r="F131" s="48"/>
      <c r="K131" s="39"/>
      <c r="L131" s="39"/>
      <c r="M131" s="39"/>
      <c r="N131" s="39"/>
      <c r="O131" s="39"/>
    </row>
    <row r="132" spans="1:15" x14ac:dyDescent="0.25">
      <c r="A132" s="4"/>
      <c r="B132" s="5"/>
      <c r="C132" s="5"/>
      <c r="D132" s="5"/>
      <c r="E132" s="5"/>
      <c r="F132" s="48"/>
      <c r="K132" s="39"/>
      <c r="L132" s="39"/>
      <c r="M132" s="39"/>
      <c r="N132" s="39"/>
      <c r="O132" s="39"/>
    </row>
    <row r="133" spans="1:15" x14ac:dyDescent="0.25">
      <c r="A133" s="4"/>
      <c r="B133" s="5"/>
      <c r="C133" s="5"/>
      <c r="D133" s="5"/>
      <c r="E133" s="5"/>
      <c r="F133" s="48"/>
      <c r="K133" s="39"/>
      <c r="L133" s="39"/>
      <c r="M133" s="39"/>
      <c r="N133" s="39"/>
      <c r="O133" s="39"/>
    </row>
    <row r="134" spans="1:15" x14ac:dyDescent="0.25">
      <c r="A134" s="4"/>
      <c r="B134" s="5"/>
      <c r="C134" s="5"/>
      <c r="D134" s="5"/>
      <c r="E134" s="5"/>
      <c r="F134" s="48"/>
      <c r="K134" s="39"/>
      <c r="L134" s="39"/>
      <c r="M134" s="39"/>
      <c r="N134" s="39"/>
      <c r="O134" s="39"/>
    </row>
    <row r="135" spans="1:15" x14ac:dyDescent="0.25">
      <c r="A135" s="4"/>
      <c r="B135" s="5"/>
      <c r="C135" s="5"/>
      <c r="D135" s="5"/>
      <c r="E135" s="5"/>
      <c r="F135" s="48"/>
      <c r="K135" s="39"/>
      <c r="L135" s="39"/>
      <c r="M135" s="39"/>
      <c r="N135" s="39"/>
      <c r="O135" s="39"/>
    </row>
    <row r="136" spans="1:15" x14ac:dyDescent="0.25">
      <c r="A136" s="4"/>
      <c r="B136" s="5"/>
      <c r="C136" s="5"/>
      <c r="D136" s="5"/>
      <c r="E136" s="5"/>
      <c r="F136" s="48"/>
      <c r="K136" s="39"/>
      <c r="L136" s="39"/>
      <c r="M136" s="39"/>
      <c r="N136" s="39"/>
      <c r="O136" s="39"/>
    </row>
    <row r="137" spans="1:15" x14ac:dyDescent="0.25">
      <c r="A137" s="4"/>
      <c r="B137" s="5"/>
      <c r="C137" s="5"/>
      <c r="D137" s="5"/>
      <c r="E137" s="5"/>
      <c r="F137" s="48"/>
      <c r="K137" s="39"/>
      <c r="L137" s="39"/>
      <c r="M137" s="39"/>
      <c r="N137" s="39"/>
      <c r="O137" s="39"/>
    </row>
    <row r="138" spans="1:15" x14ac:dyDescent="0.25">
      <c r="A138" s="4"/>
      <c r="B138" s="5"/>
      <c r="C138" s="5"/>
      <c r="D138" s="5"/>
      <c r="E138" s="5"/>
      <c r="F138" s="48"/>
      <c r="K138" s="39"/>
      <c r="L138" s="39"/>
      <c r="M138" s="39"/>
      <c r="N138" s="39"/>
      <c r="O138" s="39"/>
    </row>
    <row r="139" spans="1:15" x14ac:dyDescent="0.25">
      <c r="A139" s="4"/>
      <c r="B139" s="5"/>
      <c r="C139" s="5"/>
      <c r="D139" s="5"/>
      <c r="E139" s="5"/>
      <c r="F139" s="48"/>
      <c r="K139" s="39"/>
      <c r="L139" s="39"/>
      <c r="M139" s="39"/>
      <c r="N139" s="39"/>
      <c r="O139" s="39"/>
    </row>
    <row r="140" spans="1:15" x14ac:dyDescent="0.25">
      <c r="A140" s="4"/>
      <c r="B140" s="5"/>
      <c r="C140" s="5"/>
      <c r="D140" s="5"/>
      <c r="E140" s="5"/>
      <c r="F140" s="48"/>
      <c r="K140" s="39"/>
      <c r="L140" s="39"/>
      <c r="M140" s="39"/>
      <c r="N140" s="39"/>
      <c r="O140" s="39"/>
    </row>
    <row r="141" spans="1:15" x14ac:dyDescent="0.25">
      <c r="A141" s="4"/>
      <c r="B141" s="5"/>
      <c r="C141" s="5"/>
      <c r="D141" s="5"/>
      <c r="E141" s="5"/>
      <c r="F141" s="48"/>
      <c r="K141" s="39"/>
      <c r="L141" s="39"/>
      <c r="M141" s="39"/>
      <c r="N141" s="39"/>
      <c r="O141" s="39"/>
    </row>
    <row r="142" spans="1:15" x14ac:dyDescent="0.25">
      <c r="A142" s="4"/>
      <c r="B142" s="5"/>
      <c r="C142" s="5"/>
      <c r="D142" s="5"/>
      <c r="E142" s="5"/>
      <c r="F142" s="48"/>
      <c r="K142" s="39"/>
      <c r="L142" s="39"/>
      <c r="M142" s="39"/>
      <c r="N142" s="39"/>
      <c r="O142" s="39"/>
    </row>
    <row r="143" spans="1:15" x14ac:dyDescent="0.25">
      <c r="A143" s="4"/>
      <c r="B143" s="5"/>
      <c r="C143" s="5"/>
      <c r="D143" s="5"/>
      <c r="E143" s="5"/>
      <c r="F143" s="48"/>
      <c r="K143" s="39"/>
      <c r="L143" s="39"/>
      <c r="M143" s="39"/>
      <c r="N143" s="39"/>
      <c r="O143" s="39"/>
    </row>
    <row r="144" spans="1:15" x14ac:dyDescent="0.25">
      <c r="A144" s="4"/>
      <c r="B144" s="5"/>
      <c r="C144" s="5"/>
      <c r="D144" s="5"/>
      <c r="E144" s="5"/>
      <c r="F144" s="48"/>
      <c r="K144" s="39"/>
      <c r="L144" s="39"/>
      <c r="M144" s="39"/>
      <c r="N144" s="39"/>
      <c r="O144" s="39"/>
    </row>
    <row r="145" spans="1:15" x14ac:dyDescent="0.25">
      <c r="A145" s="4"/>
      <c r="B145" s="5"/>
      <c r="C145" s="5"/>
      <c r="D145" s="5"/>
      <c r="E145" s="5"/>
      <c r="F145" s="48"/>
      <c r="K145" s="39"/>
      <c r="L145" s="39"/>
      <c r="M145" s="39"/>
      <c r="N145" s="39"/>
      <c r="O145" s="39"/>
    </row>
    <row r="146" spans="1:15" x14ac:dyDescent="0.25">
      <c r="A146" s="4"/>
      <c r="B146" s="5"/>
      <c r="C146" s="5"/>
      <c r="D146" s="5"/>
      <c r="E146" s="5"/>
      <c r="F146" s="48"/>
      <c r="K146" s="39"/>
      <c r="L146" s="39"/>
      <c r="M146" s="39"/>
      <c r="N146" s="39"/>
      <c r="O146" s="39"/>
    </row>
    <row r="147" spans="1:15" x14ac:dyDescent="0.25">
      <c r="A147" s="4"/>
      <c r="B147" s="5"/>
      <c r="C147" s="5"/>
      <c r="D147" s="5"/>
      <c r="E147" s="5"/>
      <c r="F147" s="48"/>
      <c r="K147" s="39"/>
      <c r="L147" s="39"/>
      <c r="M147" s="39"/>
      <c r="N147" s="39"/>
      <c r="O147" s="39"/>
    </row>
    <row r="148" spans="1:15" x14ac:dyDescent="0.25">
      <c r="A148" s="4"/>
      <c r="B148" s="5"/>
      <c r="C148" s="5"/>
      <c r="D148" s="5"/>
      <c r="E148" s="5"/>
      <c r="F148" s="48"/>
      <c r="K148" s="39"/>
      <c r="L148" s="39"/>
      <c r="M148" s="39"/>
      <c r="N148" s="39"/>
      <c r="O148" s="39"/>
    </row>
    <row r="149" spans="1:15" x14ac:dyDescent="0.25">
      <c r="A149" s="4"/>
      <c r="B149" s="5"/>
      <c r="C149" s="5"/>
      <c r="D149" s="5"/>
      <c r="E149" s="5"/>
      <c r="F149" s="48"/>
      <c r="K149" s="39"/>
      <c r="L149" s="39"/>
      <c r="M149" s="39"/>
      <c r="N149" s="39"/>
      <c r="O149" s="39"/>
    </row>
    <row r="150" spans="1:15" x14ac:dyDescent="0.25">
      <c r="A150" s="4"/>
      <c r="B150" s="5"/>
      <c r="C150" s="5"/>
      <c r="D150" s="5"/>
      <c r="E150" s="5"/>
      <c r="F150" s="48"/>
      <c r="K150" s="39"/>
      <c r="L150" s="39"/>
      <c r="M150" s="39"/>
      <c r="N150" s="39"/>
      <c r="O150" s="39"/>
    </row>
    <row r="151" spans="1:15" x14ac:dyDescent="0.25">
      <c r="A151" s="4"/>
      <c r="B151" s="5"/>
      <c r="C151" s="5"/>
      <c r="D151" s="5"/>
      <c r="E151" s="5"/>
      <c r="F151" s="48"/>
      <c r="K151" s="39"/>
      <c r="L151" s="39"/>
      <c r="M151" s="39"/>
      <c r="N151" s="39"/>
      <c r="O151" s="39"/>
    </row>
    <row r="152" spans="1:15" x14ac:dyDescent="0.25">
      <c r="A152" s="4"/>
      <c r="B152" s="5"/>
      <c r="C152" s="5"/>
      <c r="D152" s="5"/>
      <c r="E152" s="5"/>
      <c r="F152" s="48"/>
      <c r="K152" s="39"/>
      <c r="L152" s="39"/>
      <c r="M152" s="39"/>
      <c r="N152" s="39"/>
      <c r="O152" s="39"/>
    </row>
    <row r="153" spans="1:15" x14ac:dyDescent="0.25">
      <c r="A153" s="4"/>
      <c r="B153" s="5"/>
      <c r="C153" s="5"/>
      <c r="D153" s="5"/>
      <c r="E153" s="5"/>
      <c r="F153" s="48"/>
      <c r="K153" s="39"/>
      <c r="L153" s="39"/>
      <c r="M153" s="39"/>
      <c r="N153" s="39"/>
      <c r="O153" s="39"/>
    </row>
    <row r="154" spans="1:15" x14ac:dyDescent="0.25">
      <c r="A154" s="4"/>
      <c r="B154" s="5"/>
      <c r="C154" s="5"/>
      <c r="D154" s="5"/>
      <c r="E154" s="5"/>
      <c r="F154" s="48"/>
      <c r="K154" s="39"/>
      <c r="L154" s="39"/>
      <c r="M154" s="39"/>
      <c r="N154" s="39"/>
      <c r="O154" s="39"/>
    </row>
    <row r="155" spans="1:15" x14ac:dyDescent="0.25">
      <c r="A155" s="4"/>
      <c r="B155" s="5"/>
      <c r="C155" s="5"/>
      <c r="D155" s="5"/>
      <c r="E155" s="5"/>
      <c r="F155" s="48"/>
      <c r="K155" s="39"/>
      <c r="L155" s="39"/>
      <c r="M155" s="39"/>
      <c r="N155" s="39"/>
      <c r="O155" s="39"/>
    </row>
    <row r="156" spans="1:15" x14ac:dyDescent="0.25">
      <c r="A156" s="4"/>
      <c r="B156" s="5"/>
      <c r="C156" s="5"/>
      <c r="D156" s="5"/>
      <c r="E156" s="5"/>
      <c r="F156" s="48"/>
      <c r="K156" s="39"/>
      <c r="L156" s="39"/>
      <c r="M156" s="39"/>
      <c r="N156" s="39"/>
      <c r="O156" s="39"/>
    </row>
    <row r="157" spans="1:15" x14ac:dyDescent="0.25">
      <c r="A157" s="4"/>
      <c r="B157" s="5"/>
      <c r="C157" s="5"/>
      <c r="D157" s="5"/>
      <c r="E157" s="5"/>
      <c r="F157" s="48"/>
      <c r="K157" s="39"/>
      <c r="L157" s="39"/>
      <c r="M157" s="39"/>
      <c r="N157" s="39"/>
      <c r="O157" s="39"/>
    </row>
    <row r="158" spans="1:15" x14ac:dyDescent="0.25">
      <c r="A158" s="4"/>
      <c r="B158" s="5"/>
      <c r="C158" s="5"/>
      <c r="D158" s="5"/>
      <c r="E158" s="5"/>
      <c r="F158" s="48"/>
      <c r="K158" s="39"/>
      <c r="L158" s="39"/>
      <c r="M158" s="39"/>
      <c r="N158" s="39"/>
      <c r="O158" s="39"/>
    </row>
    <row r="159" spans="1:15" x14ac:dyDescent="0.25">
      <c r="A159" s="4"/>
      <c r="B159" s="5"/>
      <c r="C159" s="5"/>
      <c r="D159" s="5"/>
      <c r="E159" s="5"/>
      <c r="F159" s="48"/>
      <c r="K159" s="39"/>
      <c r="L159" s="39"/>
      <c r="M159" s="39"/>
      <c r="N159" s="39"/>
      <c r="O159" s="39"/>
    </row>
    <row r="160" spans="1:15" x14ac:dyDescent="0.25">
      <c r="A160" s="4"/>
      <c r="B160" s="5"/>
      <c r="C160" s="5"/>
      <c r="D160" s="5"/>
      <c r="E160" s="5"/>
      <c r="F160" s="48"/>
      <c r="K160" s="39"/>
      <c r="L160" s="39"/>
      <c r="M160" s="39"/>
      <c r="N160" s="39"/>
      <c r="O160" s="39"/>
    </row>
    <row r="161" spans="1:15" x14ac:dyDescent="0.25">
      <c r="A161" s="4"/>
      <c r="B161" s="5"/>
      <c r="C161" s="5"/>
      <c r="D161" s="5"/>
      <c r="E161" s="5"/>
      <c r="F161" s="48"/>
      <c r="K161" s="39"/>
      <c r="L161" s="39"/>
      <c r="M161" s="39"/>
      <c r="N161" s="39"/>
      <c r="O161" s="39"/>
    </row>
    <row r="162" spans="1:15" x14ac:dyDescent="0.25">
      <c r="A162" s="4"/>
      <c r="B162" s="5"/>
      <c r="C162" s="5"/>
      <c r="D162" s="5"/>
      <c r="E162" s="5"/>
      <c r="F162" s="48"/>
      <c r="K162" s="39"/>
      <c r="L162" s="39"/>
      <c r="M162" s="39"/>
      <c r="N162" s="39"/>
      <c r="O162" s="39"/>
    </row>
    <row r="163" spans="1:15" x14ac:dyDescent="0.25">
      <c r="A163" s="4"/>
      <c r="B163" s="5"/>
      <c r="C163" s="5"/>
      <c r="D163" s="5"/>
      <c r="E163" s="5"/>
      <c r="F163" s="48"/>
      <c r="K163" s="39"/>
      <c r="L163" s="39"/>
      <c r="M163" s="39"/>
      <c r="N163" s="39"/>
      <c r="O163" s="39"/>
    </row>
    <row r="164" spans="1:15" x14ac:dyDescent="0.25">
      <c r="A164" s="4"/>
      <c r="B164" s="5"/>
      <c r="C164" s="5"/>
      <c r="D164" s="5"/>
      <c r="E164" s="5"/>
      <c r="F164" s="48"/>
      <c r="K164" s="39"/>
      <c r="L164" s="39"/>
      <c r="M164" s="39"/>
      <c r="N164" s="39"/>
      <c r="O164" s="39"/>
    </row>
    <row r="165" spans="1:15" x14ac:dyDescent="0.25">
      <c r="A165" s="4"/>
      <c r="B165" s="5"/>
      <c r="C165" s="5"/>
      <c r="D165" s="5"/>
      <c r="E165" s="5"/>
      <c r="F165" s="48"/>
      <c r="K165" s="39"/>
      <c r="L165" s="39"/>
      <c r="M165" s="39"/>
      <c r="N165" s="39"/>
      <c r="O165" s="39"/>
    </row>
    <row r="166" spans="1:15" x14ac:dyDescent="0.25">
      <c r="A166" s="4"/>
      <c r="B166" s="5"/>
      <c r="C166" s="5"/>
      <c r="D166" s="5"/>
      <c r="E166" s="5"/>
      <c r="F166" s="48"/>
      <c r="K166" s="39"/>
      <c r="L166" s="39"/>
      <c r="M166" s="39"/>
      <c r="N166" s="39"/>
      <c r="O166" s="39"/>
    </row>
    <row r="167" spans="1:15" x14ac:dyDescent="0.25">
      <c r="A167" s="4"/>
      <c r="B167" s="5"/>
      <c r="C167" s="5"/>
      <c r="D167" s="5"/>
      <c r="E167" s="5"/>
      <c r="F167" s="48"/>
      <c r="K167" s="39"/>
      <c r="L167" s="39"/>
      <c r="M167" s="39"/>
      <c r="N167" s="39"/>
      <c r="O167" s="39"/>
    </row>
    <row r="168" spans="1:15" x14ac:dyDescent="0.25">
      <c r="A168" s="4"/>
      <c r="B168" s="5"/>
      <c r="C168" s="5"/>
      <c r="D168" s="5"/>
      <c r="E168" s="5"/>
      <c r="F168" s="48"/>
      <c r="K168" s="39"/>
      <c r="L168" s="39"/>
      <c r="M168" s="39"/>
      <c r="N168" s="39"/>
      <c r="O168" s="39"/>
    </row>
    <row r="169" spans="1:15" x14ac:dyDescent="0.25">
      <c r="A169" s="4"/>
      <c r="B169" s="5"/>
      <c r="C169" s="5"/>
      <c r="D169" s="5"/>
      <c r="E169" s="5"/>
      <c r="F169" s="48"/>
      <c r="K169" s="39"/>
      <c r="L169" s="39"/>
      <c r="M169" s="39"/>
      <c r="N169" s="39"/>
      <c r="O169" s="39"/>
    </row>
    <row r="170" spans="1:15" x14ac:dyDescent="0.25">
      <c r="A170" s="4"/>
      <c r="B170" s="5"/>
      <c r="C170" s="5"/>
      <c r="D170" s="5"/>
      <c r="E170" s="5"/>
      <c r="F170" s="48"/>
      <c r="K170" s="39"/>
      <c r="L170" s="39"/>
      <c r="M170" s="39"/>
      <c r="N170" s="39"/>
      <c r="O170" s="39"/>
    </row>
    <row r="171" spans="1:15" x14ac:dyDescent="0.25">
      <c r="A171" s="4"/>
      <c r="B171" s="5"/>
      <c r="C171" s="5"/>
      <c r="D171" s="5"/>
      <c r="E171" s="5"/>
      <c r="F171" s="48"/>
      <c r="K171" s="39"/>
      <c r="L171" s="39"/>
      <c r="M171" s="39"/>
      <c r="N171" s="39"/>
      <c r="O171" s="39"/>
    </row>
    <row r="172" spans="1:15" x14ac:dyDescent="0.25">
      <c r="A172" s="4"/>
      <c r="B172" s="5"/>
      <c r="C172" s="5"/>
      <c r="D172" s="5"/>
      <c r="E172" s="5"/>
      <c r="F172" s="48"/>
      <c r="K172" s="39"/>
      <c r="L172" s="39"/>
      <c r="M172" s="39"/>
      <c r="N172" s="39"/>
      <c r="O172" s="39"/>
    </row>
    <row r="173" spans="1:15" x14ac:dyDescent="0.25">
      <c r="A173" s="4"/>
      <c r="B173" s="5"/>
      <c r="C173" s="5"/>
      <c r="D173" s="5"/>
      <c r="E173" s="5"/>
      <c r="F173" s="48"/>
      <c r="K173" s="39"/>
      <c r="L173" s="39"/>
      <c r="M173" s="39"/>
      <c r="N173" s="39"/>
      <c r="O173" s="39"/>
    </row>
    <row r="174" spans="1:15" x14ac:dyDescent="0.25">
      <c r="A174" s="4"/>
      <c r="B174" s="5"/>
      <c r="C174" s="5"/>
      <c r="D174" s="5"/>
      <c r="E174" s="5"/>
      <c r="F174" s="48"/>
      <c r="K174" s="39"/>
      <c r="L174" s="39"/>
      <c r="M174" s="39"/>
      <c r="N174" s="39"/>
      <c r="O174" s="39"/>
    </row>
    <row r="175" spans="1:15" x14ac:dyDescent="0.25">
      <c r="A175" s="4"/>
      <c r="B175" s="5"/>
      <c r="C175" s="5"/>
      <c r="D175" s="5"/>
      <c r="E175" s="5"/>
      <c r="F175" s="48"/>
      <c r="K175" s="39"/>
      <c r="L175" s="39"/>
      <c r="M175" s="39"/>
      <c r="N175" s="39"/>
      <c r="O175" s="39"/>
    </row>
    <row r="176" spans="1:15" x14ac:dyDescent="0.25">
      <c r="A176" s="4"/>
      <c r="B176" s="5"/>
      <c r="C176" s="5"/>
      <c r="D176" s="5"/>
      <c r="E176" s="5"/>
      <c r="F176" s="48"/>
      <c r="K176" s="39"/>
      <c r="L176" s="39"/>
      <c r="M176" s="39"/>
      <c r="N176" s="39"/>
      <c r="O176" s="39"/>
    </row>
    <row r="177" spans="1:15" x14ac:dyDescent="0.25">
      <c r="A177" s="4"/>
      <c r="B177" s="5"/>
      <c r="C177" s="5"/>
      <c r="D177" s="5"/>
      <c r="E177" s="5"/>
      <c r="F177" s="48"/>
      <c r="K177" s="39"/>
      <c r="L177" s="39"/>
      <c r="M177" s="39"/>
      <c r="N177" s="39"/>
      <c r="O177" s="39"/>
    </row>
    <row r="178" spans="1:15" x14ac:dyDescent="0.25">
      <c r="A178" s="4"/>
      <c r="B178" s="5"/>
      <c r="C178" s="5"/>
      <c r="D178" s="5"/>
      <c r="E178" s="5"/>
      <c r="F178" s="48"/>
      <c r="K178" s="39"/>
      <c r="L178" s="39"/>
      <c r="M178" s="39"/>
      <c r="N178" s="39"/>
      <c r="O178" s="39"/>
    </row>
    <row r="179" spans="1:15" x14ac:dyDescent="0.25">
      <c r="A179" s="4"/>
      <c r="B179" s="5"/>
      <c r="C179" s="5"/>
      <c r="D179" s="5"/>
      <c r="E179" s="5"/>
      <c r="F179" s="48"/>
      <c r="K179" s="39"/>
      <c r="L179" s="39"/>
      <c r="M179" s="39"/>
      <c r="N179" s="39"/>
      <c r="O179" s="39"/>
    </row>
    <row r="180" spans="1:15" x14ac:dyDescent="0.25">
      <c r="A180" s="4"/>
      <c r="B180" s="5"/>
      <c r="C180" s="5"/>
      <c r="D180" s="5"/>
      <c r="E180" s="5"/>
      <c r="F180" s="48"/>
      <c r="K180" s="39"/>
      <c r="L180" s="39"/>
      <c r="M180" s="39"/>
      <c r="N180" s="39"/>
      <c r="O180" s="39"/>
    </row>
    <row r="181" spans="1:15" x14ac:dyDescent="0.25">
      <c r="A181" s="4"/>
      <c r="B181" s="5"/>
      <c r="C181" s="5"/>
      <c r="D181" s="5"/>
      <c r="E181" s="5"/>
      <c r="F181" s="48"/>
      <c r="K181" s="39"/>
      <c r="L181" s="39"/>
      <c r="M181" s="39"/>
      <c r="N181" s="39"/>
      <c r="O181" s="39"/>
    </row>
    <row r="182" spans="1:15" x14ac:dyDescent="0.25">
      <c r="A182" s="4"/>
      <c r="B182" s="5"/>
      <c r="C182" s="5"/>
      <c r="D182" s="5"/>
      <c r="E182" s="5"/>
      <c r="F182" s="48"/>
      <c r="K182" s="39"/>
      <c r="L182" s="39"/>
      <c r="M182" s="39"/>
      <c r="N182" s="39"/>
      <c r="O182" s="39"/>
    </row>
    <row r="183" spans="1:15" x14ac:dyDescent="0.25">
      <c r="A183" s="4"/>
      <c r="B183" s="5"/>
      <c r="C183" s="5"/>
      <c r="D183" s="5"/>
      <c r="E183" s="5"/>
      <c r="F183" s="48"/>
      <c r="K183" s="39"/>
      <c r="L183" s="39"/>
      <c r="M183" s="39"/>
      <c r="N183" s="39"/>
      <c r="O183" s="39"/>
    </row>
    <row r="184" spans="1:15" x14ac:dyDescent="0.25">
      <c r="A184" s="4"/>
      <c r="B184" s="5"/>
      <c r="C184" s="5"/>
      <c r="D184" s="5"/>
      <c r="E184" s="5"/>
      <c r="F184" s="48"/>
      <c r="K184" s="39"/>
      <c r="L184" s="39"/>
      <c r="M184" s="39"/>
      <c r="N184" s="39"/>
      <c r="O184" s="39"/>
    </row>
    <row r="185" spans="1:15" x14ac:dyDescent="0.25">
      <c r="A185" s="4"/>
      <c r="B185" s="5"/>
      <c r="C185" s="5"/>
      <c r="D185" s="5"/>
      <c r="E185" s="5"/>
      <c r="F185" s="48"/>
      <c r="K185" s="39"/>
      <c r="L185" s="39"/>
      <c r="M185" s="39"/>
      <c r="N185" s="39"/>
      <c r="O185" s="39"/>
    </row>
    <row r="186" spans="1:15" x14ac:dyDescent="0.25">
      <c r="A186" s="4"/>
      <c r="B186" s="5"/>
      <c r="C186" s="5"/>
      <c r="D186" s="5"/>
      <c r="E186" s="5"/>
      <c r="F186" s="48"/>
      <c r="K186" s="39"/>
      <c r="L186" s="39"/>
      <c r="M186" s="39"/>
      <c r="N186" s="39"/>
      <c r="O186" s="39"/>
    </row>
    <row r="187" spans="1:15" x14ac:dyDescent="0.25">
      <c r="A187" s="4"/>
      <c r="B187" s="5"/>
      <c r="C187" s="5"/>
      <c r="D187" s="5"/>
      <c r="E187" s="5"/>
      <c r="F187" s="48"/>
      <c r="K187" s="39"/>
      <c r="L187" s="39"/>
      <c r="M187" s="39"/>
      <c r="N187" s="39"/>
      <c r="O187" s="39"/>
    </row>
    <row r="188" spans="1:15" x14ac:dyDescent="0.25">
      <c r="A188" s="4"/>
      <c r="B188" s="5"/>
      <c r="C188" s="5"/>
      <c r="D188" s="5"/>
      <c r="E188" s="5"/>
      <c r="F188" s="48"/>
      <c r="K188" s="39"/>
      <c r="L188" s="39"/>
      <c r="M188" s="39"/>
      <c r="N188" s="39"/>
      <c r="O188" s="39"/>
    </row>
    <row r="189" spans="1:15" x14ac:dyDescent="0.25">
      <c r="A189" s="4"/>
      <c r="B189" s="5"/>
      <c r="C189" s="5"/>
      <c r="D189" s="5"/>
      <c r="E189" s="5"/>
      <c r="F189" s="48"/>
      <c r="K189" s="39"/>
      <c r="L189" s="39"/>
      <c r="M189" s="39"/>
      <c r="N189" s="39"/>
      <c r="O189" s="39"/>
    </row>
    <row r="190" spans="1:15" x14ac:dyDescent="0.25">
      <c r="A190" s="4"/>
      <c r="B190" s="5"/>
      <c r="C190" s="5"/>
      <c r="D190" s="5"/>
      <c r="E190" s="5"/>
      <c r="F190" s="48"/>
      <c r="K190" s="39"/>
      <c r="L190" s="39"/>
      <c r="M190" s="39"/>
      <c r="N190" s="39"/>
      <c r="O190" s="39"/>
    </row>
    <row r="191" spans="1:15" x14ac:dyDescent="0.25">
      <c r="A191" s="4"/>
      <c r="B191" s="5"/>
      <c r="C191" s="5"/>
      <c r="D191" s="5"/>
      <c r="E191" s="5"/>
      <c r="F191" s="48"/>
      <c r="K191" s="39"/>
      <c r="L191" s="39"/>
      <c r="M191" s="39"/>
      <c r="N191" s="39"/>
      <c r="O191" s="39"/>
    </row>
    <row r="192" spans="1:15" x14ac:dyDescent="0.25">
      <c r="A192" s="4"/>
      <c r="B192" s="5"/>
      <c r="C192" s="5"/>
      <c r="D192" s="5"/>
      <c r="E192" s="5"/>
      <c r="F192" s="48"/>
      <c r="K192" s="39"/>
      <c r="L192" s="39"/>
      <c r="M192" s="39"/>
      <c r="N192" s="39"/>
      <c r="O192" s="39"/>
    </row>
    <row r="193" spans="1:15" x14ac:dyDescent="0.25">
      <c r="A193" s="4"/>
      <c r="B193" s="5"/>
      <c r="C193" s="5"/>
      <c r="D193" s="5"/>
      <c r="E193" s="5"/>
      <c r="F193" s="48"/>
      <c r="K193" s="39"/>
      <c r="L193" s="39"/>
      <c r="M193" s="39"/>
      <c r="N193" s="39"/>
      <c r="O193" s="39"/>
    </row>
    <row r="194" spans="1:15" x14ac:dyDescent="0.25">
      <c r="A194" s="4"/>
      <c r="B194" s="5"/>
      <c r="C194" s="5"/>
      <c r="D194" s="5"/>
      <c r="E194" s="5"/>
      <c r="F194" s="48"/>
      <c r="K194" s="39"/>
      <c r="L194" s="39"/>
      <c r="M194" s="39"/>
      <c r="N194" s="39"/>
      <c r="O194" s="39"/>
    </row>
    <row r="195" spans="1:15" x14ac:dyDescent="0.25">
      <c r="A195" s="4"/>
      <c r="B195" s="5"/>
      <c r="C195" s="5"/>
      <c r="D195" s="5"/>
      <c r="E195" s="5"/>
      <c r="F195" s="48"/>
      <c r="K195" s="39"/>
      <c r="L195" s="39"/>
      <c r="M195" s="39"/>
      <c r="N195" s="39"/>
      <c r="O195" s="39"/>
    </row>
    <row r="196" spans="1:15" x14ac:dyDescent="0.25">
      <c r="A196" s="4"/>
      <c r="B196" s="5"/>
      <c r="C196" s="5"/>
      <c r="D196" s="5"/>
      <c r="E196" s="5"/>
      <c r="F196" s="48"/>
      <c r="K196" s="39"/>
      <c r="L196" s="39"/>
      <c r="M196" s="39"/>
      <c r="N196" s="39"/>
      <c r="O196" s="39"/>
    </row>
    <row r="197" spans="1:15" x14ac:dyDescent="0.25">
      <c r="A197" s="4"/>
      <c r="B197" s="5"/>
      <c r="C197" s="5"/>
      <c r="D197" s="5"/>
      <c r="E197" s="5"/>
      <c r="F197" s="48"/>
      <c r="K197" s="39"/>
      <c r="L197" s="39"/>
      <c r="M197" s="39"/>
      <c r="N197" s="39"/>
      <c r="O197" s="39"/>
    </row>
    <row r="198" spans="1:15" x14ac:dyDescent="0.25">
      <c r="A198" s="4"/>
      <c r="B198" s="5"/>
      <c r="C198" s="5"/>
      <c r="D198" s="5"/>
      <c r="E198" s="5"/>
      <c r="F198" s="48"/>
      <c r="K198" s="39"/>
      <c r="L198" s="39"/>
      <c r="M198" s="39"/>
      <c r="N198" s="39"/>
      <c r="O198" s="39"/>
    </row>
    <row r="199" spans="1:15" x14ac:dyDescent="0.25">
      <c r="A199" s="4"/>
      <c r="B199" s="5"/>
      <c r="C199" s="5"/>
      <c r="D199" s="5"/>
      <c r="E199" s="5"/>
      <c r="F199" s="48"/>
      <c r="K199" s="39"/>
      <c r="L199" s="39"/>
      <c r="M199" s="39"/>
      <c r="N199" s="39"/>
      <c r="O199" s="39"/>
    </row>
    <row r="200" spans="1:15" x14ac:dyDescent="0.25">
      <c r="A200" s="4"/>
      <c r="B200" s="5"/>
      <c r="C200" s="5"/>
      <c r="D200" s="5"/>
      <c r="E200" s="5"/>
      <c r="F200" s="48"/>
      <c r="K200" s="39"/>
      <c r="L200" s="39"/>
      <c r="M200" s="39"/>
      <c r="N200" s="39"/>
      <c r="O200" s="39"/>
    </row>
    <row r="201" spans="1:15" x14ac:dyDescent="0.25">
      <c r="A201" s="4"/>
      <c r="B201" s="5"/>
      <c r="C201" s="5"/>
      <c r="D201" s="5"/>
      <c r="E201" s="5"/>
      <c r="F201" s="48"/>
      <c r="K201" s="39"/>
      <c r="L201" s="39"/>
      <c r="M201" s="39"/>
      <c r="N201" s="39"/>
      <c r="O201" s="39"/>
    </row>
    <row r="202" spans="1:15" x14ac:dyDescent="0.25">
      <c r="A202" s="4"/>
      <c r="B202" s="5"/>
      <c r="C202" s="5"/>
      <c r="D202" s="5"/>
      <c r="E202" s="5"/>
      <c r="F202" s="48"/>
      <c r="K202" s="39"/>
      <c r="L202" s="39"/>
      <c r="M202" s="39"/>
      <c r="N202" s="39"/>
      <c r="O202" s="39"/>
    </row>
    <row r="203" spans="1:15" x14ac:dyDescent="0.25">
      <c r="A203" s="4"/>
      <c r="B203" s="5"/>
      <c r="C203" s="5"/>
      <c r="D203" s="5"/>
      <c r="E203" s="5"/>
      <c r="F203" s="48"/>
      <c r="K203" s="39"/>
      <c r="L203" s="39"/>
      <c r="M203" s="39"/>
      <c r="N203" s="39"/>
      <c r="O203" s="39"/>
    </row>
    <row r="204" spans="1:15" x14ac:dyDescent="0.25">
      <c r="A204" s="4"/>
      <c r="B204" s="5"/>
      <c r="C204" s="5"/>
      <c r="D204" s="5"/>
      <c r="E204" s="5"/>
      <c r="F204" s="48"/>
      <c r="K204" s="39"/>
      <c r="L204" s="39"/>
      <c r="M204" s="39"/>
      <c r="N204" s="39"/>
      <c r="O204" s="39"/>
    </row>
    <row r="205" spans="1:15" x14ac:dyDescent="0.25">
      <c r="A205" s="4"/>
      <c r="B205" s="5"/>
      <c r="C205" s="5"/>
      <c r="D205" s="5"/>
      <c r="E205" s="5"/>
      <c r="F205" s="48"/>
      <c r="K205" s="39"/>
      <c r="L205" s="39"/>
      <c r="M205" s="39"/>
      <c r="N205" s="39"/>
      <c r="O205" s="39"/>
    </row>
    <row r="206" spans="1:15" x14ac:dyDescent="0.25">
      <c r="A206" s="4"/>
      <c r="B206" s="5"/>
      <c r="C206" s="5"/>
      <c r="D206" s="5"/>
      <c r="E206" s="5"/>
      <c r="F206" s="48"/>
      <c r="K206" s="39"/>
      <c r="L206" s="39"/>
      <c r="M206" s="39"/>
      <c r="N206" s="39"/>
      <c r="O206" s="39"/>
    </row>
    <row r="207" spans="1:15" x14ac:dyDescent="0.25">
      <c r="A207" s="4"/>
      <c r="B207" s="5"/>
      <c r="C207" s="5"/>
      <c r="D207" s="5"/>
      <c r="E207" s="5"/>
      <c r="F207" s="48"/>
      <c r="K207" s="39"/>
      <c r="L207" s="39"/>
      <c r="M207" s="39"/>
      <c r="N207" s="39"/>
      <c r="O207" s="39"/>
    </row>
    <row r="208" spans="1:15" x14ac:dyDescent="0.25">
      <c r="A208" s="4"/>
      <c r="B208" s="5"/>
      <c r="C208" s="5"/>
      <c r="D208" s="5"/>
      <c r="E208" s="5"/>
      <c r="F208" s="48"/>
      <c r="K208" s="39"/>
      <c r="L208" s="39"/>
      <c r="M208" s="39"/>
      <c r="N208" s="39"/>
      <c r="O208" s="39"/>
    </row>
    <row r="209" spans="1:15" x14ac:dyDescent="0.25">
      <c r="A209" s="4"/>
      <c r="B209" s="5"/>
      <c r="C209" s="5"/>
      <c r="D209" s="5"/>
      <c r="E209" s="5"/>
      <c r="F209" s="48"/>
      <c r="K209" s="39"/>
      <c r="L209" s="39"/>
      <c r="M209" s="39"/>
      <c r="N209" s="39"/>
      <c r="O209" s="39"/>
    </row>
    <row r="210" spans="1:15" x14ac:dyDescent="0.25">
      <c r="A210" s="4"/>
      <c r="B210" s="5"/>
      <c r="C210" s="5"/>
      <c r="D210" s="5"/>
      <c r="E210" s="5"/>
      <c r="F210" s="48"/>
      <c r="K210" s="39"/>
      <c r="L210" s="39"/>
      <c r="M210" s="39"/>
      <c r="N210" s="39"/>
      <c r="O210" s="39"/>
    </row>
    <row r="211" spans="1:15" x14ac:dyDescent="0.25">
      <c r="A211" s="4"/>
      <c r="B211" s="5"/>
      <c r="C211" s="5"/>
      <c r="D211" s="5"/>
      <c r="E211" s="5"/>
      <c r="F211" s="48"/>
      <c r="K211" s="39"/>
      <c r="L211" s="39"/>
      <c r="M211" s="39"/>
      <c r="N211" s="39"/>
      <c r="O211" s="39"/>
    </row>
    <row r="212" spans="1:15" x14ac:dyDescent="0.25">
      <c r="A212" s="4"/>
      <c r="B212" s="5"/>
      <c r="C212" s="5"/>
      <c r="D212" s="5"/>
      <c r="E212" s="5"/>
      <c r="F212" s="48"/>
      <c r="K212" s="39"/>
      <c r="L212" s="39"/>
      <c r="M212" s="39"/>
      <c r="N212" s="39"/>
      <c r="O212" s="39"/>
    </row>
    <row r="213" spans="1:15" x14ac:dyDescent="0.25">
      <c r="A213" s="4"/>
      <c r="B213" s="5"/>
      <c r="C213" s="5"/>
      <c r="D213" s="5"/>
      <c r="E213" s="5"/>
      <c r="F213" s="48"/>
      <c r="K213" s="39"/>
      <c r="L213" s="39"/>
      <c r="M213" s="39"/>
      <c r="N213" s="39"/>
      <c r="O213" s="39"/>
    </row>
    <row r="214" spans="1:15" x14ac:dyDescent="0.25">
      <c r="A214" s="4"/>
      <c r="B214" s="5"/>
      <c r="C214" s="5"/>
      <c r="D214" s="5"/>
      <c r="E214" s="5"/>
      <c r="F214" s="48"/>
      <c r="K214" s="39"/>
      <c r="L214" s="39"/>
      <c r="M214" s="39"/>
      <c r="N214" s="39"/>
      <c r="O214" s="39"/>
    </row>
    <row r="215" spans="1:15" x14ac:dyDescent="0.25">
      <c r="A215" s="4"/>
      <c r="B215" s="5"/>
      <c r="C215" s="5"/>
      <c r="D215" s="5"/>
      <c r="E215" s="5"/>
      <c r="F215" s="48"/>
      <c r="K215" s="39"/>
      <c r="L215" s="39"/>
      <c r="M215" s="39"/>
      <c r="N215" s="39"/>
      <c r="O215" s="39"/>
    </row>
    <row r="216" spans="1:15" x14ac:dyDescent="0.25">
      <c r="A216" s="4"/>
      <c r="B216" s="5"/>
      <c r="C216" s="5"/>
      <c r="D216" s="5"/>
      <c r="E216" s="5"/>
      <c r="F216" s="48"/>
      <c r="K216" s="39"/>
      <c r="L216" s="39"/>
      <c r="M216" s="39"/>
      <c r="N216" s="39"/>
      <c r="O216" s="39"/>
    </row>
    <row r="217" spans="1:15" x14ac:dyDescent="0.25">
      <c r="A217" s="4"/>
      <c r="B217" s="5"/>
      <c r="C217" s="5"/>
      <c r="D217" s="5"/>
      <c r="E217" s="5"/>
      <c r="F217" s="48"/>
      <c r="K217" s="39"/>
      <c r="L217" s="39"/>
      <c r="M217" s="39"/>
      <c r="N217" s="39"/>
      <c r="O217" s="39"/>
    </row>
    <row r="218" spans="1:15" x14ac:dyDescent="0.25">
      <c r="A218" s="4"/>
      <c r="B218" s="5"/>
      <c r="C218" s="5"/>
      <c r="D218" s="5"/>
      <c r="E218" s="5"/>
      <c r="F218" s="48"/>
      <c r="K218" s="39"/>
      <c r="L218" s="39"/>
      <c r="M218" s="39"/>
      <c r="N218" s="39"/>
      <c r="O218" s="39"/>
    </row>
    <row r="219" spans="1:15" x14ac:dyDescent="0.25">
      <c r="A219" s="4"/>
      <c r="B219" s="5"/>
      <c r="C219" s="5"/>
      <c r="D219" s="5"/>
      <c r="E219" s="5"/>
      <c r="F219" s="48"/>
      <c r="K219" s="39"/>
      <c r="L219" s="39"/>
      <c r="M219" s="39"/>
      <c r="N219" s="39"/>
      <c r="O219" s="39"/>
    </row>
    <row r="220" spans="1:15" x14ac:dyDescent="0.25">
      <c r="A220" s="4"/>
      <c r="B220" s="5"/>
      <c r="C220" s="5"/>
      <c r="D220" s="5"/>
      <c r="E220" s="5"/>
      <c r="F220" s="48"/>
      <c r="K220" s="39"/>
      <c r="L220" s="39"/>
      <c r="M220" s="39"/>
      <c r="N220" s="39"/>
      <c r="O220" s="39"/>
    </row>
    <row r="221" spans="1:15" x14ac:dyDescent="0.25">
      <c r="A221" s="4"/>
      <c r="B221" s="5"/>
      <c r="C221" s="5"/>
      <c r="D221" s="5"/>
      <c r="E221" s="5"/>
      <c r="F221" s="48"/>
      <c r="K221" s="39"/>
      <c r="L221" s="39"/>
      <c r="M221" s="39"/>
      <c r="N221" s="39"/>
      <c r="O221" s="39"/>
    </row>
    <row r="222" spans="1:15" x14ac:dyDescent="0.25">
      <c r="A222" s="4"/>
      <c r="B222" s="5"/>
      <c r="C222" s="5"/>
      <c r="D222" s="5"/>
      <c r="E222" s="5"/>
      <c r="F222" s="48"/>
      <c r="K222" s="39"/>
      <c r="L222" s="39"/>
      <c r="M222" s="39"/>
      <c r="N222" s="39"/>
      <c r="O222" s="39"/>
    </row>
    <row r="223" spans="1:15" x14ac:dyDescent="0.25">
      <c r="A223" s="4"/>
      <c r="B223" s="5"/>
      <c r="C223" s="5"/>
      <c r="D223" s="5"/>
      <c r="E223" s="5"/>
      <c r="F223" s="48"/>
      <c r="K223" s="39"/>
      <c r="L223" s="39"/>
      <c r="M223" s="39"/>
      <c r="N223" s="39"/>
      <c r="O223" s="39"/>
    </row>
    <row r="224" spans="1:15" x14ac:dyDescent="0.25">
      <c r="A224" s="4"/>
      <c r="B224" s="5"/>
      <c r="C224" s="5"/>
      <c r="D224" s="5"/>
      <c r="E224" s="5"/>
      <c r="F224" s="48"/>
      <c r="K224" s="39"/>
      <c r="L224" s="39"/>
      <c r="M224" s="39"/>
      <c r="N224" s="39"/>
      <c r="O224" s="39"/>
    </row>
    <row r="225" spans="1:15" x14ac:dyDescent="0.25">
      <c r="A225" s="4"/>
      <c r="B225" s="5"/>
      <c r="C225" s="5"/>
      <c r="D225" s="5"/>
      <c r="E225" s="5"/>
      <c r="F225" s="48"/>
      <c r="K225" s="39"/>
      <c r="L225" s="39"/>
      <c r="M225" s="39"/>
      <c r="N225" s="39"/>
      <c r="O225" s="39"/>
    </row>
    <row r="226" spans="1:15" x14ac:dyDescent="0.25">
      <c r="A226" s="4"/>
      <c r="B226" s="5"/>
      <c r="C226" s="5"/>
      <c r="D226" s="5"/>
      <c r="E226" s="5"/>
      <c r="F226" s="48"/>
      <c r="K226" s="39"/>
      <c r="L226" s="39"/>
      <c r="M226" s="39"/>
      <c r="N226" s="39"/>
      <c r="O226" s="39"/>
    </row>
    <row r="227" spans="1:15" x14ac:dyDescent="0.25">
      <c r="A227" s="4"/>
      <c r="B227" s="5"/>
      <c r="C227" s="5"/>
      <c r="D227" s="5"/>
      <c r="E227" s="5"/>
      <c r="F227" s="48"/>
      <c r="K227" s="39"/>
      <c r="L227" s="39"/>
      <c r="M227" s="39"/>
      <c r="N227" s="39"/>
      <c r="O227" s="39"/>
    </row>
    <row r="228" spans="1:15" x14ac:dyDescent="0.25">
      <c r="A228" s="4"/>
      <c r="B228" s="5"/>
      <c r="C228" s="5"/>
      <c r="D228" s="5"/>
      <c r="E228" s="5"/>
      <c r="F228" s="48"/>
      <c r="K228" s="39"/>
      <c r="L228" s="39"/>
      <c r="M228" s="39"/>
      <c r="N228" s="39"/>
      <c r="O228" s="39"/>
    </row>
    <row r="229" spans="1:15" x14ac:dyDescent="0.25">
      <c r="A229" s="4"/>
      <c r="B229" s="5"/>
      <c r="C229" s="5"/>
      <c r="D229" s="5"/>
      <c r="E229" s="5"/>
      <c r="F229" s="48"/>
      <c r="K229" s="39"/>
      <c r="L229" s="39"/>
      <c r="M229" s="39"/>
      <c r="N229" s="39"/>
      <c r="O229" s="39"/>
    </row>
    <row r="230" spans="1:15" x14ac:dyDescent="0.25">
      <c r="B230" s="10"/>
      <c r="C230" s="10"/>
      <c r="D230" s="10"/>
      <c r="E230" s="10"/>
      <c r="F230" s="10"/>
      <c r="K230" s="39"/>
      <c r="L230" s="39"/>
      <c r="M230" s="39"/>
      <c r="N230" s="39"/>
      <c r="O230" s="39"/>
    </row>
    <row r="231" spans="1:15" x14ac:dyDescent="0.25">
      <c r="B231" s="10"/>
      <c r="C231" s="10"/>
      <c r="D231" s="10"/>
      <c r="E231" s="10"/>
      <c r="F231" s="10"/>
      <c r="K231" s="39"/>
      <c r="L231" s="39"/>
      <c r="M231" s="39"/>
      <c r="N231" s="39"/>
      <c r="O231" s="39"/>
    </row>
    <row r="232" spans="1:15" x14ac:dyDescent="0.25">
      <c r="B232" s="10"/>
      <c r="C232" s="10"/>
      <c r="D232" s="10"/>
      <c r="E232" s="10"/>
      <c r="F232" s="10"/>
      <c r="K232" s="39"/>
      <c r="L232" s="39"/>
      <c r="M232" s="39"/>
      <c r="N232" s="39"/>
      <c r="O232" s="39"/>
    </row>
    <row r="233" spans="1:15" x14ac:dyDescent="0.25">
      <c r="B233" s="10"/>
      <c r="C233" s="10"/>
      <c r="D233" s="10"/>
      <c r="E233" s="10"/>
      <c r="F233" s="10"/>
      <c r="K233" s="39"/>
      <c r="L233" s="39"/>
      <c r="M233" s="39"/>
      <c r="N233" s="39"/>
      <c r="O233" s="39"/>
    </row>
    <row r="234" spans="1:15" x14ac:dyDescent="0.25">
      <c r="B234" s="10"/>
      <c r="C234" s="10"/>
      <c r="D234" s="10"/>
      <c r="E234" s="10"/>
      <c r="F234" s="10"/>
      <c r="K234" s="39"/>
      <c r="L234" s="39"/>
      <c r="M234" s="39"/>
      <c r="N234" s="39"/>
      <c r="O234" s="39"/>
    </row>
    <row r="235" spans="1:15" x14ac:dyDescent="0.25">
      <c r="B235" s="10"/>
      <c r="C235" s="10"/>
      <c r="D235" s="10"/>
      <c r="E235" s="10"/>
      <c r="F235" s="10"/>
    </row>
    <row r="236" spans="1:15" x14ac:dyDescent="0.25">
      <c r="B236" s="10"/>
      <c r="C236" s="10"/>
      <c r="D236" s="10"/>
      <c r="E236" s="10"/>
      <c r="F236" s="10"/>
    </row>
    <row r="237" spans="1:15" s="40" customFormat="1" x14ac:dyDescent="0.25">
      <c r="A237" s="1"/>
      <c r="B237" s="10"/>
      <c r="C237" s="10"/>
      <c r="D237" s="10"/>
      <c r="E237" s="10"/>
      <c r="F237" s="10"/>
      <c r="G237"/>
    </row>
    <row r="238" spans="1:15" s="40" customFormat="1" x14ac:dyDescent="0.25">
      <c r="A238" s="1"/>
      <c r="B238" s="10"/>
      <c r="C238" s="10"/>
      <c r="D238" s="10"/>
      <c r="E238" s="10"/>
      <c r="F238" s="10"/>
      <c r="G238"/>
    </row>
    <row r="239" spans="1:15" s="40" customFormat="1" x14ac:dyDescent="0.25">
      <c r="A239" s="1"/>
      <c r="B239" s="10"/>
      <c r="C239" s="10"/>
      <c r="D239" s="10"/>
      <c r="E239" s="10"/>
      <c r="F239" s="10"/>
      <c r="G239"/>
    </row>
    <row r="240" spans="1:15" s="40" customFormat="1" x14ac:dyDescent="0.25">
      <c r="A240" s="1"/>
      <c r="B240" s="10"/>
      <c r="C240" s="10"/>
      <c r="D240" s="10"/>
      <c r="E240" s="10"/>
      <c r="F240" s="10"/>
      <c r="G240"/>
    </row>
    <row r="241" spans="1:7" s="40" customFormat="1" x14ac:dyDescent="0.25">
      <c r="A241" s="1"/>
      <c r="B241" s="10"/>
      <c r="C241" s="10"/>
      <c r="D241" s="10"/>
      <c r="E241" s="10"/>
      <c r="F241" s="10"/>
      <c r="G241"/>
    </row>
    <row r="242" spans="1:7" s="40" customFormat="1" x14ac:dyDescent="0.25">
      <c r="A242" s="1"/>
      <c r="B242" s="10"/>
      <c r="C242" s="10"/>
      <c r="D242" s="10"/>
      <c r="E242" s="10"/>
      <c r="F242" s="10"/>
      <c r="G242"/>
    </row>
    <row r="243" spans="1:7" s="40" customFormat="1" x14ac:dyDescent="0.25">
      <c r="A243" s="1"/>
      <c r="B243" s="10"/>
      <c r="C243" s="10"/>
      <c r="D243" s="10"/>
      <c r="E243" s="10"/>
      <c r="F243" s="10"/>
      <c r="G243"/>
    </row>
    <row r="244" spans="1:7" s="40" customFormat="1" x14ac:dyDescent="0.25">
      <c r="A244" s="1"/>
      <c r="B244" s="10"/>
      <c r="C244" s="10"/>
      <c r="D244" s="10"/>
      <c r="E244" s="10"/>
      <c r="F244" s="10"/>
      <c r="G244"/>
    </row>
    <row r="245" spans="1:7" s="40" customFormat="1" x14ac:dyDescent="0.25">
      <c r="A245" s="1"/>
      <c r="B245" s="10"/>
      <c r="C245" s="10"/>
      <c r="D245" s="10"/>
      <c r="E245" s="10"/>
      <c r="F245" s="10"/>
      <c r="G245"/>
    </row>
    <row r="246" spans="1:7" s="40" customFormat="1" x14ac:dyDescent="0.25">
      <c r="A246" s="1"/>
      <c r="B246" s="10"/>
      <c r="C246" s="10"/>
      <c r="D246" s="10"/>
      <c r="E246" s="10"/>
      <c r="F246" s="10"/>
      <c r="G246"/>
    </row>
    <row r="247" spans="1:7" s="40" customFormat="1" x14ac:dyDescent="0.25">
      <c r="A247" s="1"/>
      <c r="B247" s="10"/>
      <c r="C247" s="10"/>
      <c r="D247" s="10"/>
      <c r="E247" s="10"/>
      <c r="F247" s="10"/>
      <c r="G247"/>
    </row>
    <row r="248" spans="1:7" s="40" customFormat="1" x14ac:dyDescent="0.25">
      <c r="A248" s="1"/>
      <c r="B248" s="10"/>
      <c r="C248" s="10"/>
      <c r="D248" s="10"/>
      <c r="E248" s="10"/>
      <c r="F248" s="10"/>
      <c r="G248"/>
    </row>
    <row r="249" spans="1:7" s="40" customFormat="1" x14ac:dyDescent="0.25">
      <c r="A249" s="1"/>
      <c r="B249" s="10"/>
      <c r="C249" s="10"/>
      <c r="D249" s="10"/>
      <c r="E249" s="10"/>
      <c r="F249" s="10"/>
      <c r="G249"/>
    </row>
    <row r="250" spans="1:7" s="40" customFormat="1" x14ac:dyDescent="0.25">
      <c r="A250" s="1"/>
      <c r="B250" s="10"/>
      <c r="C250" s="10"/>
      <c r="D250" s="10"/>
      <c r="E250" s="10"/>
      <c r="F250" s="10"/>
      <c r="G250"/>
    </row>
    <row r="251" spans="1:7" s="40" customFormat="1" x14ac:dyDescent="0.25">
      <c r="A251" s="1"/>
      <c r="B251" s="10"/>
      <c r="C251" s="10"/>
      <c r="D251" s="10"/>
      <c r="E251" s="10"/>
      <c r="F251" s="10"/>
      <c r="G251"/>
    </row>
    <row r="252" spans="1:7" s="40" customFormat="1" x14ac:dyDescent="0.25">
      <c r="A252" s="1"/>
      <c r="B252" s="10"/>
      <c r="C252" s="10"/>
      <c r="D252" s="10"/>
      <c r="E252" s="10"/>
      <c r="F252" s="10"/>
      <c r="G252"/>
    </row>
    <row r="253" spans="1:7" s="40" customFormat="1" x14ac:dyDescent="0.25">
      <c r="A253" s="1"/>
      <c r="B253" s="10"/>
      <c r="C253" s="10"/>
      <c r="D253" s="10"/>
      <c r="E253" s="10"/>
      <c r="F253" s="10"/>
      <c r="G253"/>
    </row>
    <row r="254" spans="1:7" s="40" customFormat="1" x14ac:dyDescent="0.25">
      <c r="A254" s="1"/>
      <c r="B254" s="10"/>
      <c r="C254" s="10"/>
      <c r="D254" s="10"/>
      <c r="E254" s="10"/>
      <c r="F254" s="10"/>
      <c r="G254"/>
    </row>
    <row r="255" spans="1:7" s="40" customFormat="1" x14ac:dyDescent="0.25">
      <c r="A255" s="1"/>
      <c r="B255" s="10"/>
      <c r="C255" s="10"/>
      <c r="D255" s="10"/>
      <c r="E255" s="10"/>
      <c r="F255" s="10"/>
      <c r="G255"/>
    </row>
    <row r="256" spans="1:7" s="40" customFormat="1" x14ac:dyDescent="0.25">
      <c r="A256" s="1"/>
      <c r="B256" s="10"/>
      <c r="C256" s="10"/>
      <c r="D256" s="10"/>
      <c r="E256" s="10"/>
      <c r="F256" s="10"/>
      <c r="G256"/>
    </row>
    <row r="257" spans="1:7" s="40" customFormat="1" x14ac:dyDescent="0.25">
      <c r="A257" s="1"/>
      <c r="B257" s="10"/>
      <c r="C257" s="10"/>
      <c r="D257" s="10"/>
      <c r="E257" s="10"/>
      <c r="F257" s="10"/>
      <c r="G257"/>
    </row>
    <row r="258" spans="1:7" s="40" customFormat="1" x14ac:dyDescent="0.25">
      <c r="A258" s="1"/>
      <c r="B258" s="10"/>
      <c r="C258" s="10"/>
      <c r="D258" s="10"/>
      <c r="E258" s="10"/>
      <c r="F258" s="10"/>
      <c r="G258"/>
    </row>
    <row r="259" spans="1:7" s="40" customFormat="1" x14ac:dyDescent="0.25">
      <c r="A259" s="1"/>
      <c r="B259" s="10"/>
      <c r="C259" s="10"/>
      <c r="D259" s="10"/>
      <c r="E259" s="10"/>
      <c r="F259" s="10"/>
      <c r="G259"/>
    </row>
    <row r="260" spans="1:7" s="40" customFormat="1" x14ac:dyDescent="0.25">
      <c r="A260" s="1"/>
      <c r="B260" s="10"/>
      <c r="C260" s="10"/>
      <c r="D260" s="10"/>
      <c r="E260" s="10"/>
      <c r="F260" s="10"/>
      <c r="G260"/>
    </row>
    <row r="261" spans="1:7" s="40" customFormat="1" x14ac:dyDescent="0.25">
      <c r="A261" s="1"/>
      <c r="B261" s="10"/>
      <c r="C261" s="10"/>
      <c r="D261" s="10"/>
      <c r="E261" s="10"/>
      <c r="F261" s="10"/>
      <c r="G261"/>
    </row>
    <row r="262" spans="1:7" s="40" customFormat="1" x14ac:dyDescent="0.25">
      <c r="A262" s="1"/>
      <c r="B262" s="10"/>
      <c r="C262" s="10"/>
      <c r="D262" s="10"/>
      <c r="E262" s="10"/>
      <c r="F262" s="10"/>
      <c r="G262"/>
    </row>
    <row r="263" spans="1:7" s="40" customFormat="1" x14ac:dyDescent="0.25">
      <c r="A263" s="1"/>
      <c r="B263" s="10"/>
      <c r="C263" s="10"/>
      <c r="D263" s="10"/>
      <c r="E263" s="10"/>
      <c r="F263" s="10"/>
      <c r="G263"/>
    </row>
    <row r="264" spans="1:7" s="40" customFormat="1" x14ac:dyDescent="0.25">
      <c r="A264" s="1"/>
      <c r="B264" s="10"/>
      <c r="C264" s="10"/>
      <c r="D264" s="10"/>
      <c r="E264" s="10"/>
      <c r="F264" s="10"/>
      <c r="G264"/>
    </row>
    <row r="265" spans="1:7" s="40" customFormat="1" x14ac:dyDescent="0.25">
      <c r="A265" s="1"/>
      <c r="B265" s="10"/>
      <c r="C265" s="10"/>
      <c r="D265" s="10"/>
      <c r="E265" s="10"/>
      <c r="F265" s="10"/>
      <c r="G265"/>
    </row>
    <row r="266" spans="1:7" s="40" customFormat="1" x14ac:dyDescent="0.25">
      <c r="A266" s="1"/>
      <c r="B266" s="10"/>
      <c r="C266" s="10"/>
      <c r="D266" s="10"/>
      <c r="E266" s="10"/>
      <c r="F266" s="10"/>
      <c r="G266"/>
    </row>
  </sheetData>
  <pageMargins left="0.511811024" right="0.511811024" top="0.78740157499999996" bottom="0.78740157499999996" header="0.31496062000000002" footer="0.31496062000000002"/>
  <pageSetup paperSize="1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zoomScale="63" zoomScaleNormal="63" workbookViewId="0">
      <pane ySplit="1" topLeftCell="A47" activePane="bottomLeft" state="frozen"/>
      <selection pane="bottomLeft" activeCell="O9" sqref="O9"/>
    </sheetView>
  </sheetViews>
  <sheetFormatPr defaultRowHeight="15" x14ac:dyDescent="0.25"/>
  <cols>
    <col min="1" max="1" width="27.7109375" style="1" customWidth="1"/>
    <col min="2" max="5" width="17.85546875" customWidth="1"/>
    <col min="6" max="6" width="15.5703125" style="40" hidden="1" customWidth="1"/>
    <col min="7" max="7" width="9.85546875" style="40" customWidth="1"/>
    <col min="8" max="8" width="14.140625" style="40" customWidth="1"/>
    <col min="9" max="9" width="11.5703125" style="40" customWidth="1"/>
    <col min="10" max="10" width="26.28515625" style="40" bestFit="1" customWidth="1"/>
  </cols>
  <sheetData>
    <row r="1" spans="1:11" s="3" customFormat="1" ht="213" customHeight="1" x14ac:dyDescent="0.25">
      <c r="A1" s="6" t="s">
        <v>12</v>
      </c>
      <c r="B1" s="2" t="s">
        <v>72</v>
      </c>
      <c r="C1" s="2" t="s">
        <v>73</v>
      </c>
      <c r="D1" s="2" t="s">
        <v>74</v>
      </c>
      <c r="E1" s="2" t="s">
        <v>75</v>
      </c>
      <c r="F1" s="37" t="s">
        <v>15</v>
      </c>
      <c r="G1" s="37" t="s">
        <v>16</v>
      </c>
      <c r="H1" s="38" t="s">
        <v>359</v>
      </c>
      <c r="I1" s="37" t="s">
        <v>3</v>
      </c>
      <c r="J1" s="37" t="s">
        <v>4</v>
      </c>
    </row>
    <row r="2" spans="1:11" s="84" customFormat="1" x14ac:dyDescent="0.25">
      <c r="A2" s="80" t="s">
        <v>14</v>
      </c>
      <c r="B2" s="81">
        <v>7548802</v>
      </c>
      <c r="C2" s="81">
        <v>9207179</v>
      </c>
      <c r="D2" s="81">
        <v>30863197</v>
      </c>
      <c r="E2" s="81">
        <v>16843924</v>
      </c>
      <c r="F2" s="82">
        <v>1975</v>
      </c>
      <c r="G2" s="82">
        <f t="shared" ref="G2:G38" si="0">2021-F2</f>
        <v>46</v>
      </c>
      <c r="H2" s="82">
        <v>1</v>
      </c>
      <c r="I2" s="82">
        <v>1</v>
      </c>
      <c r="J2" s="82" t="s">
        <v>17</v>
      </c>
      <c r="K2" s="83"/>
    </row>
    <row r="3" spans="1:11" s="22" customFormat="1" ht="30" x14ac:dyDescent="0.25">
      <c r="A3" s="18" t="s">
        <v>29</v>
      </c>
      <c r="B3" s="21">
        <v>0</v>
      </c>
      <c r="C3" s="21">
        <v>0</v>
      </c>
      <c r="D3" s="21">
        <v>0</v>
      </c>
      <c r="E3" s="21">
        <v>3172.61</v>
      </c>
      <c r="F3" s="52">
        <v>2005</v>
      </c>
      <c r="G3" s="52">
        <f t="shared" si="0"/>
        <v>16</v>
      </c>
      <c r="H3" s="52">
        <v>2</v>
      </c>
      <c r="I3" s="52">
        <v>1</v>
      </c>
      <c r="J3" s="52" t="s">
        <v>30</v>
      </c>
    </row>
    <row r="4" spans="1:11" s="22" customFormat="1" ht="57.6" customHeight="1" x14ac:dyDescent="0.25">
      <c r="A4" s="18" t="s">
        <v>32</v>
      </c>
      <c r="B4" s="21" t="s">
        <v>115</v>
      </c>
      <c r="C4" s="21">
        <v>22620</v>
      </c>
      <c r="D4" s="21">
        <v>19024</v>
      </c>
      <c r="E4" s="21" t="s">
        <v>115</v>
      </c>
      <c r="F4" s="52">
        <v>2008</v>
      </c>
      <c r="G4" s="52">
        <f t="shared" si="0"/>
        <v>13</v>
      </c>
      <c r="H4" s="52">
        <v>5</v>
      </c>
      <c r="I4" s="52">
        <v>1</v>
      </c>
      <c r="J4" s="52" t="s">
        <v>5</v>
      </c>
    </row>
    <row r="5" spans="1:11" s="84" customFormat="1" ht="45" x14ac:dyDescent="0.25">
      <c r="A5" s="80" t="s">
        <v>41</v>
      </c>
      <c r="B5" s="81">
        <v>12742.71</v>
      </c>
      <c r="C5" s="81">
        <v>20505</v>
      </c>
      <c r="D5" s="81">
        <v>11973.21</v>
      </c>
      <c r="E5" s="81">
        <v>13990.69</v>
      </c>
      <c r="F5" s="82">
        <v>1999</v>
      </c>
      <c r="G5" s="82">
        <f t="shared" si="0"/>
        <v>22</v>
      </c>
      <c r="H5" s="82">
        <v>3</v>
      </c>
      <c r="I5" s="82">
        <v>1</v>
      </c>
      <c r="J5" s="82" t="s">
        <v>42</v>
      </c>
    </row>
    <row r="6" spans="1:11" s="22" customFormat="1" x14ac:dyDescent="0.25">
      <c r="A6" s="18" t="s">
        <v>44</v>
      </c>
      <c r="B6" s="21">
        <v>0</v>
      </c>
      <c r="C6" s="21">
        <v>0</v>
      </c>
      <c r="D6" s="21">
        <v>56000</v>
      </c>
      <c r="E6" s="21">
        <v>0</v>
      </c>
      <c r="F6" s="52">
        <v>2002</v>
      </c>
      <c r="G6" s="52">
        <f t="shared" si="0"/>
        <v>19</v>
      </c>
      <c r="H6" s="52">
        <v>1</v>
      </c>
      <c r="I6" s="52">
        <v>1</v>
      </c>
      <c r="J6" s="52" t="s">
        <v>17</v>
      </c>
    </row>
    <row r="7" spans="1:11" s="84" customFormat="1" x14ac:dyDescent="0.25">
      <c r="A7" s="80" t="s">
        <v>55</v>
      </c>
      <c r="B7" s="81">
        <v>251688</v>
      </c>
      <c r="C7" s="81">
        <v>425674</v>
      </c>
      <c r="D7" s="81">
        <v>310782</v>
      </c>
      <c r="E7" s="81">
        <v>121827</v>
      </c>
      <c r="F7" s="82">
        <v>2006</v>
      </c>
      <c r="G7" s="82">
        <f t="shared" si="0"/>
        <v>15</v>
      </c>
      <c r="H7" s="82">
        <v>3</v>
      </c>
      <c r="I7" s="82">
        <v>1</v>
      </c>
      <c r="J7" s="82" t="s">
        <v>5</v>
      </c>
    </row>
    <row r="8" spans="1:11" s="84" customFormat="1" x14ac:dyDescent="0.25">
      <c r="A8" s="80" t="s">
        <v>58</v>
      </c>
      <c r="B8" s="81">
        <v>741711</v>
      </c>
      <c r="C8" s="81">
        <v>605611</v>
      </c>
      <c r="D8" s="81">
        <v>734461</v>
      </c>
      <c r="E8" s="81">
        <v>636054</v>
      </c>
      <c r="F8" s="82">
        <v>1997</v>
      </c>
      <c r="G8" s="82">
        <f t="shared" si="0"/>
        <v>24</v>
      </c>
      <c r="H8" s="82">
        <v>1</v>
      </c>
      <c r="I8" s="82">
        <v>1</v>
      </c>
      <c r="J8" s="82" t="s">
        <v>30</v>
      </c>
    </row>
    <row r="9" spans="1:11" s="84" customFormat="1" ht="75" x14ac:dyDescent="0.25">
      <c r="A9" s="80" t="s">
        <v>64</v>
      </c>
      <c r="B9" s="81">
        <f>807115.5+19932.82</f>
        <v>827048.32</v>
      </c>
      <c r="C9" s="81">
        <f>476625+476625</f>
        <v>953250</v>
      </c>
      <c r="D9" s="81">
        <f>457787.5+457787.5</f>
        <v>915575</v>
      </c>
      <c r="E9" s="81">
        <f>177663.75+177663.75</f>
        <v>355327.5</v>
      </c>
      <c r="F9" s="82">
        <v>1773</v>
      </c>
      <c r="G9" s="82">
        <f t="shared" si="0"/>
        <v>248</v>
      </c>
      <c r="H9" s="82">
        <v>1</v>
      </c>
      <c r="I9" s="82">
        <v>1</v>
      </c>
      <c r="J9" s="82" t="s">
        <v>66</v>
      </c>
    </row>
    <row r="10" spans="1:11" s="84" customFormat="1" x14ac:dyDescent="0.25">
      <c r="A10" s="80" t="s">
        <v>87</v>
      </c>
      <c r="B10" s="81">
        <v>23000</v>
      </c>
      <c r="C10" s="81">
        <v>23000</v>
      </c>
      <c r="D10" s="81">
        <v>28000</v>
      </c>
      <c r="E10" s="81">
        <v>28000</v>
      </c>
      <c r="F10" s="82">
        <v>1994</v>
      </c>
      <c r="G10" s="82">
        <f t="shared" si="0"/>
        <v>27</v>
      </c>
      <c r="H10" s="82">
        <v>1</v>
      </c>
      <c r="I10" s="82">
        <v>1</v>
      </c>
      <c r="J10" s="82" t="s">
        <v>35</v>
      </c>
    </row>
    <row r="11" spans="1:11" s="84" customFormat="1" ht="45" x14ac:dyDescent="0.25">
      <c r="A11" s="80" t="s">
        <v>88</v>
      </c>
      <c r="B11" s="81">
        <v>56963</v>
      </c>
      <c r="C11" s="81">
        <v>75978</v>
      </c>
      <c r="D11" s="81">
        <v>239554</v>
      </c>
      <c r="E11" s="81">
        <v>69610</v>
      </c>
      <c r="F11" s="82">
        <v>1995</v>
      </c>
      <c r="G11" s="82">
        <f t="shared" si="0"/>
        <v>26</v>
      </c>
      <c r="H11" s="82">
        <v>1</v>
      </c>
      <c r="I11" s="82">
        <v>1</v>
      </c>
      <c r="J11" s="82" t="s">
        <v>5</v>
      </c>
    </row>
    <row r="12" spans="1:11" s="22" customFormat="1" ht="30" x14ac:dyDescent="0.25">
      <c r="A12" s="18" t="s">
        <v>97</v>
      </c>
      <c r="B12" s="21">
        <v>0</v>
      </c>
      <c r="C12" s="21">
        <v>91100</v>
      </c>
      <c r="D12" s="21">
        <v>27300</v>
      </c>
      <c r="E12" s="21">
        <v>107220</v>
      </c>
      <c r="F12" s="52">
        <v>2014</v>
      </c>
      <c r="G12" s="52">
        <f t="shared" si="0"/>
        <v>7</v>
      </c>
      <c r="H12" s="52">
        <v>7</v>
      </c>
      <c r="I12" s="52">
        <v>1</v>
      </c>
      <c r="J12" s="52" t="s">
        <v>5</v>
      </c>
    </row>
    <row r="13" spans="1:11" s="84" customFormat="1" ht="45" x14ac:dyDescent="0.25">
      <c r="A13" s="80" t="s">
        <v>100</v>
      </c>
      <c r="B13" s="81">
        <v>64000</v>
      </c>
      <c r="C13" s="81">
        <v>79500</v>
      </c>
      <c r="D13" s="81">
        <v>50615</v>
      </c>
      <c r="E13" s="81">
        <v>61445</v>
      </c>
      <c r="F13" s="82">
        <v>1999</v>
      </c>
      <c r="G13" s="82">
        <f t="shared" si="0"/>
        <v>22</v>
      </c>
      <c r="H13" s="82">
        <v>7</v>
      </c>
      <c r="I13" s="82">
        <v>1</v>
      </c>
      <c r="J13" s="82" t="s">
        <v>5</v>
      </c>
    </row>
    <row r="14" spans="1:11" s="84" customFormat="1" ht="30" x14ac:dyDescent="0.25">
      <c r="A14" s="80" t="s">
        <v>103</v>
      </c>
      <c r="B14" s="81">
        <v>176160</v>
      </c>
      <c r="C14" s="81">
        <v>213520</v>
      </c>
      <c r="D14" s="81">
        <v>213520</v>
      </c>
      <c r="E14" s="81">
        <v>238720</v>
      </c>
      <c r="F14" s="82">
        <v>2010</v>
      </c>
      <c r="G14" s="82">
        <f t="shared" si="0"/>
        <v>11</v>
      </c>
      <c r="H14" s="82">
        <v>1</v>
      </c>
      <c r="I14" s="82">
        <v>1</v>
      </c>
      <c r="J14" s="82" t="s">
        <v>66</v>
      </c>
    </row>
    <row r="15" spans="1:11" s="22" customFormat="1" x14ac:dyDescent="0.25">
      <c r="A15" s="18" t="s">
        <v>123</v>
      </c>
      <c r="B15" s="21" t="s">
        <v>115</v>
      </c>
      <c r="C15" s="21">
        <v>140000</v>
      </c>
      <c r="D15" s="21">
        <v>511530</v>
      </c>
      <c r="E15" s="21">
        <v>153040</v>
      </c>
      <c r="F15" s="52">
        <v>2000</v>
      </c>
      <c r="G15" s="52">
        <f t="shared" si="0"/>
        <v>21</v>
      </c>
      <c r="H15" s="52">
        <v>7</v>
      </c>
      <c r="I15" s="52">
        <v>1</v>
      </c>
      <c r="J15" s="52" t="s">
        <v>124</v>
      </c>
    </row>
    <row r="16" spans="1:11" s="84" customFormat="1" x14ac:dyDescent="0.25">
      <c r="A16" s="80" t="s">
        <v>129</v>
      </c>
      <c r="B16" s="81">
        <v>2422660</v>
      </c>
      <c r="C16" s="81">
        <v>2260366</v>
      </c>
      <c r="D16" s="81">
        <v>2864833</v>
      </c>
      <c r="E16" s="81">
        <v>740899</v>
      </c>
      <c r="F16" s="82">
        <v>1991</v>
      </c>
      <c r="G16" s="82">
        <f t="shared" si="0"/>
        <v>30</v>
      </c>
      <c r="H16" s="82">
        <v>3</v>
      </c>
      <c r="I16" s="82">
        <v>1</v>
      </c>
      <c r="J16" s="82" t="s">
        <v>30</v>
      </c>
    </row>
    <row r="17" spans="1:10" s="84" customFormat="1" ht="45.6" customHeight="1" x14ac:dyDescent="0.25">
      <c r="A17" s="80" t="s">
        <v>132</v>
      </c>
      <c r="B17" s="81">
        <v>135918</v>
      </c>
      <c r="C17" s="81">
        <v>116279</v>
      </c>
      <c r="D17" s="81">
        <v>119411</v>
      </c>
      <c r="E17" s="81">
        <v>104453</v>
      </c>
      <c r="F17" s="82">
        <v>2003</v>
      </c>
      <c r="G17" s="82">
        <f t="shared" si="0"/>
        <v>18</v>
      </c>
      <c r="H17" s="82">
        <v>7</v>
      </c>
      <c r="I17" s="82">
        <v>1</v>
      </c>
      <c r="J17" s="82" t="s">
        <v>134</v>
      </c>
    </row>
    <row r="18" spans="1:10" s="22" customFormat="1" ht="30" x14ac:dyDescent="0.25">
      <c r="A18" s="18" t="s">
        <v>137</v>
      </c>
      <c r="B18" s="21" t="s">
        <v>115</v>
      </c>
      <c r="C18" s="21" t="s">
        <v>115</v>
      </c>
      <c r="D18" s="21" t="s">
        <v>115</v>
      </c>
      <c r="E18" s="21">
        <v>254000</v>
      </c>
      <c r="F18" s="52">
        <v>1992</v>
      </c>
      <c r="G18" s="52">
        <f t="shared" si="0"/>
        <v>29</v>
      </c>
      <c r="H18" s="52">
        <v>4</v>
      </c>
      <c r="I18" s="52">
        <v>1</v>
      </c>
      <c r="J18" s="52" t="s">
        <v>136</v>
      </c>
    </row>
    <row r="19" spans="1:10" s="22" customFormat="1" ht="45" x14ac:dyDescent="0.25">
      <c r="A19" s="18" t="s">
        <v>143</v>
      </c>
      <c r="B19" s="21" t="s">
        <v>115</v>
      </c>
      <c r="C19" s="21">
        <v>17849</v>
      </c>
      <c r="D19" s="21">
        <v>24528</v>
      </c>
      <c r="E19" s="21">
        <v>19776</v>
      </c>
      <c r="F19" s="52">
        <v>1995</v>
      </c>
      <c r="G19" s="52">
        <f t="shared" si="0"/>
        <v>26</v>
      </c>
      <c r="H19" s="52">
        <v>4</v>
      </c>
      <c r="I19" s="52">
        <v>1</v>
      </c>
      <c r="J19" s="52" t="s">
        <v>144</v>
      </c>
    </row>
    <row r="20" spans="1:10" s="84" customFormat="1" x14ac:dyDescent="0.25">
      <c r="A20" s="80" t="s">
        <v>156</v>
      </c>
      <c r="B20" s="81">
        <v>171352</v>
      </c>
      <c r="C20" s="81">
        <v>65741</v>
      </c>
      <c r="D20" s="81">
        <v>40829</v>
      </c>
      <c r="E20" s="81">
        <v>4115</v>
      </c>
      <c r="F20" s="82">
        <v>2011</v>
      </c>
      <c r="G20" s="82">
        <f t="shared" si="0"/>
        <v>10</v>
      </c>
      <c r="H20" s="82">
        <v>1</v>
      </c>
      <c r="I20" s="82">
        <v>1</v>
      </c>
      <c r="J20" s="82" t="s">
        <v>5</v>
      </c>
    </row>
    <row r="21" spans="1:10" s="84" customFormat="1" ht="30" x14ac:dyDescent="0.25">
      <c r="A21" s="80" t="s">
        <v>168</v>
      </c>
      <c r="B21" s="81">
        <v>80804.33</v>
      </c>
      <c r="C21" s="81">
        <v>96026.240000000005</v>
      </c>
      <c r="D21" s="81">
        <v>101802.92</v>
      </c>
      <c r="E21" s="81">
        <v>61198.75</v>
      </c>
      <c r="F21" s="82">
        <v>1963</v>
      </c>
      <c r="G21" s="82">
        <f t="shared" si="0"/>
        <v>58</v>
      </c>
      <c r="H21" s="82">
        <v>1</v>
      </c>
      <c r="I21" s="82">
        <v>1</v>
      </c>
      <c r="J21" s="82" t="s">
        <v>171</v>
      </c>
    </row>
    <row r="22" spans="1:10" s="84" customFormat="1" ht="30" x14ac:dyDescent="0.25">
      <c r="A22" s="80" t="s">
        <v>173</v>
      </c>
      <c r="B22" s="81">
        <v>111409.76</v>
      </c>
      <c r="C22" s="81">
        <v>102155.87</v>
      </c>
      <c r="D22" s="81">
        <v>65752.210000000006</v>
      </c>
      <c r="E22" s="81">
        <v>70437.119999999995</v>
      </c>
      <c r="F22" s="82">
        <v>1992</v>
      </c>
      <c r="G22" s="82">
        <f t="shared" si="0"/>
        <v>29</v>
      </c>
      <c r="H22" s="82">
        <v>1</v>
      </c>
      <c r="I22" s="82">
        <v>1</v>
      </c>
      <c r="J22" s="82" t="s">
        <v>171</v>
      </c>
    </row>
    <row r="23" spans="1:10" s="84" customFormat="1" ht="30" x14ac:dyDescent="0.25">
      <c r="A23" s="80" t="s">
        <v>176</v>
      </c>
      <c r="B23" s="81">
        <f>42000+174000+32000</f>
        <v>248000</v>
      </c>
      <c r="C23" s="81">
        <f>55000+212000+7000</f>
        <v>274000</v>
      </c>
      <c r="D23" s="81">
        <f>1839866.73</f>
        <v>1839866.73</v>
      </c>
      <c r="E23" s="81">
        <v>1797377.76</v>
      </c>
      <c r="F23" s="82">
        <v>1947</v>
      </c>
      <c r="G23" s="82">
        <f t="shared" si="0"/>
        <v>74</v>
      </c>
      <c r="H23" s="82">
        <v>1</v>
      </c>
      <c r="I23" s="82">
        <v>1</v>
      </c>
      <c r="J23" s="82" t="s">
        <v>17</v>
      </c>
    </row>
    <row r="24" spans="1:10" s="84" customFormat="1" ht="45" x14ac:dyDescent="0.25">
      <c r="A24" s="80" t="s">
        <v>180</v>
      </c>
      <c r="B24" s="81">
        <v>39175</v>
      </c>
      <c r="C24" s="81">
        <v>48009</v>
      </c>
      <c r="D24" s="81">
        <v>49233</v>
      </c>
      <c r="E24" s="81">
        <v>14629</v>
      </c>
      <c r="F24" s="82">
        <v>1980</v>
      </c>
      <c r="G24" s="82">
        <f t="shared" si="0"/>
        <v>41</v>
      </c>
      <c r="H24" s="82">
        <v>3</v>
      </c>
      <c r="I24" s="82">
        <v>1</v>
      </c>
      <c r="J24" s="82" t="s">
        <v>181</v>
      </c>
    </row>
    <row r="25" spans="1:10" s="84" customFormat="1" x14ac:dyDescent="0.25">
      <c r="A25" s="80" t="s">
        <v>183</v>
      </c>
      <c r="B25" s="81">
        <v>305002</v>
      </c>
      <c r="C25" s="81">
        <v>318638</v>
      </c>
      <c r="D25" s="81">
        <v>287734</v>
      </c>
      <c r="E25" s="81">
        <v>272967</v>
      </c>
      <c r="F25" s="82">
        <v>1997</v>
      </c>
      <c r="G25" s="82">
        <f t="shared" si="0"/>
        <v>24</v>
      </c>
      <c r="H25" s="82">
        <v>1</v>
      </c>
      <c r="I25" s="82">
        <v>1</v>
      </c>
      <c r="J25" s="82" t="s">
        <v>185</v>
      </c>
    </row>
    <row r="26" spans="1:10" s="84" customFormat="1" ht="45" x14ac:dyDescent="0.25">
      <c r="A26" s="80" t="s">
        <v>187</v>
      </c>
      <c r="B26" s="81">
        <v>2120000</v>
      </c>
      <c r="C26" s="81">
        <v>2077000</v>
      </c>
      <c r="D26" s="81">
        <v>9150000</v>
      </c>
      <c r="E26" s="81">
        <v>1152000</v>
      </c>
      <c r="F26" s="82">
        <v>1991</v>
      </c>
      <c r="G26" s="82">
        <f t="shared" si="0"/>
        <v>30</v>
      </c>
      <c r="H26" s="82">
        <v>3</v>
      </c>
      <c r="I26" s="82">
        <v>1</v>
      </c>
      <c r="J26" s="82" t="s">
        <v>5</v>
      </c>
    </row>
    <row r="27" spans="1:10" s="22" customFormat="1" ht="30" x14ac:dyDescent="0.25">
      <c r="A27" s="18" t="s">
        <v>190</v>
      </c>
      <c r="B27" s="21" t="s">
        <v>115</v>
      </c>
      <c r="C27" s="21" t="s">
        <v>115</v>
      </c>
      <c r="D27" s="21">
        <v>212000</v>
      </c>
      <c r="E27" s="21">
        <v>171000</v>
      </c>
      <c r="F27" s="52">
        <v>1996</v>
      </c>
      <c r="G27" s="52">
        <f t="shared" si="0"/>
        <v>25</v>
      </c>
      <c r="H27" s="52">
        <v>4</v>
      </c>
      <c r="I27" s="52">
        <v>1</v>
      </c>
      <c r="J27" s="52" t="s">
        <v>192</v>
      </c>
    </row>
    <row r="28" spans="1:10" s="84" customFormat="1" x14ac:dyDescent="0.25">
      <c r="A28" s="80" t="s">
        <v>197</v>
      </c>
      <c r="B28" s="81">
        <v>379981</v>
      </c>
      <c r="C28" s="81">
        <v>318380</v>
      </c>
      <c r="D28" s="81">
        <v>341980</v>
      </c>
      <c r="E28" s="81">
        <v>80021</v>
      </c>
      <c r="F28" s="82">
        <v>1998</v>
      </c>
      <c r="G28" s="82">
        <f t="shared" si="0"/>
        <v>23</v>
      </c>
      <c r="H28" s="82">
        <v>2</v>
      </c>
      <c r="I28" s="82">
        <v>2</v>
      </c>
      <c r="J28" s="82" t="s">
        <v>5</v>
      </c>
    </row>
    <row r="29" spans="1:10" s="84" customFormat="1" ht="30" x14ac:dyDescent="0.25">
      <c r="A29" s="80" t="s">
        <v>202</v>
      </c>
      <c r="B29" s="81">
        <v>460072</v>
      </c>
      <c r="C29" s="81">
        <v>501861</v>
      </c>
      <c r="D29" s="81">
        <v>480574</v>
      </c>
      <c r="E29" s="81">
        <v>581700</v>
      </c>
      <c r="F29" s="82">
        <v>1946</v>
      </c>
      <c r="G29" s="82">
        <f t="shared" si="0"/>
        <v>75</v>
      </c>
      <c r="H29" s="82">
        <v>1</v>
      </c>
      <c r="I29" s="82">
        <v>2</v>
      </c>
      <c r="J29" s="82" t="s">
        <v>5</v>
      </c>
    </row>
    <row r="30" spans="1:10" s="84" customFormat="1" ht="30" x14ac:dyDescent="0.25">
      <c r="A30" s="80" t="s">
        <v>205</v>
      </c>
      <c r="B30" s="81">
        <v>2122000</v>
      </c>
      <c r="C30" s="81">
        <v>405000</v>
      </c>
      <c r="D30" s="81">
        <v>508000</v>
      </c>
      <c r="E30" s="81">
        <v>492000</v>
      </c>
      <c r="F30" s="82">
        <v>2008</v>
      </c>
      <c r="G30" s="82">
        <f t="shared" si="0"/>
        <v>13</v>
      </c>
      <c r="H30" s="82">
        <v>4</v>
      </c>
      <c r="I30" s="82">
        <v>2</v>
      </c>
      <c r="J30" s="82" t="s">
        <v>147</v>
      </c>
    </row>
    <row r="31" spans="1:10" s="84" customFormat="1" x14ac:dyDescent="0.25">
      <c r="A31" s="80" t="s">
        <v>208</v>
      </c>
      <c r="B31" s="81">
        <v>658743</v>
      </c>
      <c r="C31" s="81">
        <v>449270</v>
      </c>
      <c r="D31" s="81">
        <v>684038</v>
      </c>
      <c r="E31" s="81">
        <v>668591</v>
      </c>
      <c r="F31" s="82">
        <v>1990</v>
      </c>
      <c r="G31" s="82">
        <f t="shared" si="0"/>
        <v>31</v>
      </c>
      <c r="H31" s="82">
        <v>1</v>
      </c>
      <c r="I31" s="82">
        <v>2</v>
      </c>
      <c r="J31" s="82" t="s">
        <v>5</v>
      </c>
    </row>
    <row r="32" spans="1:10" s="22" customFormat="1" ht="62.45" customHeight="1" x14ac:dyDescent="0.25">
      <c r="A32" s="18" t="s">
        <v>211</v>
      </c>
      <c r="B32" s="21">
        <v>80520</v>
      </c>
      <c r="C32" s="21">
        <v>63800</v>
      </c>
      <c r="D32" s="21">
        <v>89320</v>
      </c>
      <c r="E32" s="21" t="s">
        <v>115</v>
      </c>
      <c r="F32" s="52">
        <v>2009</v>
      </c>
      <c r="G32" s="52">
        <f t="shared" si="0"/>
        <v>12</v>
      </c>
      <c r="H32" s="52">
        <v>1</v>
      </c>
      <c r="I32" s="52">
        <v>1</v>
      </c>
      <c r="J32" s="52" t="s">
        <v>212</v>
      </c>
    </row>
    <row r="33" spans="1:10" s="22" customFormat="1" x14ac:dyDescent="0.25">
      <c r="A33" s="18" t="s">
        <v>214</v>
      </c>
      <c r="B33" s="21" t="s">
        <v>115</v>
      </c>
      <c r="C33" s="21">
        <v>7000</v>
      </c>
      <c r="D33" s="21">
        <v>18000</v>
      </c>
      <c r="E33" s="21" t="s">
        <v>115</v>
      </c>
      <c r="F33" s="52">
        <v>1991</v>
      </c>
      <c r="G33" s="52">
        <f t="shared" si="0"/>
        <v>30</v>
      </c>
      <c r="H33" s="52">
        <v>2</v>
      </c>
      <c r="I33" s="52">
        <v>1</v>
      </c>
      <c r="J33" s="52" t="s">
        <v>5</v>
      </c>
    </row>
    <row r="34" spans="1:10" s="84" customFormat="1" ht="30" x14ac:dyDescent="0.25">
      <c r="A34" s="80" t="s">
        <v>217</v>
      </c>
      <c r="B34" s="81">
        <v>36000</v>
      </c>
      <c r="C34" s="81">
        <v>50000</v>
      </c>
      <c r="D34" s="81">
        <v>39000</v>
      </c>
      <c r="E34" s="81">
        <v>18000</v>
      </c>
      <c r="F34" s="82">
        <v>1966</v>
      </c>
      <c r="G34" s="82">
        <f t="shared" si="0"/>
        <v>55</v>
      </c>
      <c r="H34" s="82">
        <v>1</v>
      </c>
      <c r="I34" s="82">
        <v>1</v>
      </c>
      <c r="J34" s="82" t="s">
        <v>17</v>
      </c>
    </row>
    <row r="35" spans="1:10" s="84" customFormat="1" x14ac:dyDescent="0.25">
      <c r="A35" s="80" t="s">
        <v>233</v>
      </c>
      <c r="B35" s="81">
        <v>691580</v>
      </c>
      <c r="C35" s="81">
        <v>136290</v>
      </c>
      <c r="D35" s="81">
        <v>422415</v>
      </c>
      <c r="E35" s="81">
        <v>46955</v>
      </c>
      <c r="F35" s="82">
        <v>1994</v>
      </c>
      <c r="G35" s="82">
        <f t="shared" si="0"/>
        <v>27</v>
      </c>
      <c r="H35" s="82">
        <v>1</v>
      </c>
      <c r="I35" s="82">
        <v>1</v>
      </c>
      <c r="J35" s="82" t="s">
        <v>5</v>
      </c>
    </row>
    <row r="36" spans="1:10" s="84" customFormat="1" x14ac:dyDescent="0.25">
      <c r="A36" s="80" t="s">
        <v>248</v>
      </c>
      <c r="B36" s="81">
        <v>405862</v>
      </c>
      <c r="C36" s="81">
        <v>875010</v>
      </c>
      <c r="D36" s="81">
        <v>364570</v>
      </c>
      <c r="E36" s="81">
        <v>504617</v>
      </c>
      <c r="F36" s="82">
        <v>2001</v>
      </c>
      <c r="G36" s="82">
        <f t="shared" si="0"/>
        <v>20</v>
      </c>
      <c r="H36" s="82">
        <v>2</v>
      </c>
      <c r="I36" s="82">
        <v>1</v>
      </c>
      <c r="J36" s="82" t="s">
        <v>5</v>
      </c>
    </row>
    <row r="37" spans="1:10" s="84" customFormat="1" ht="45" x14ac:dyDescent="0.25">
      <c r="A37" s="80" t="s">
        <v>258</v>
      </c>
      <c r="B37" s="81">
        <v>37176</v>
      </c>
      <c r="C37" s="81">
        <v>633205</v>
      </c>
      <c r="D37" s="81">
        <v>533253</v>
      </c>
      <c r="E37" s="81">
        <v>115206</v>
      </c>
      <c r="F37" s="82">
        <v>1998</v>
      </c>
      <c r="G37" s="82">
        <f t="shared" si="0"/>
        <v>23</v>
      </c>
      <c r="H37" s="82">
        <v>3</v>
      </c>
      <c r="I37" s="82">
        <v>1</v>
      </c>
      <c r="J37" s="82" t="s">
        <v>5</v>
      </c>
    </row>
    <row r="38" spans="1:10" s="84" customFormat="1" ht="30" x14ac:dyDescent="0.25">
      <c r="A38" s="80" t="s">
        <v>261</v>
      </c>
      <c r="B38" s="81">
        <v>510860</v>
      </c>
      <c r="C38" s="81">
        <v>527197</v>
      </c>
      <c r="D38" s="81">
        <v>569440</v>
      </c>
      <c r="E38" s="81">
        <v>604776</v>
      </c>
      <c r="F38" s="82">
        <v>1964</v>
      </c>
      <c r="G38" s="82">
        <f t="shared" si="0"/>
        <v>57</v>
      </c>
      <c r="H38" s="82">
        <v>3</v>
      </c>
      <c r="I38" s="82">
        <v>1</v>
      </c>
      <c r="J38" s="82" t="s">
        <v>17</v>
      </c>
    </row>
    <row r="39" spans="1:10" s="84" customFormat="1" ht="30" x14ac:dyDescent="0.25">
      <c r="A39" s="80" t="s">
        <v>270</v>
      </c>
      <c r="B39" s="81">
        <v>130536</v>
      </c>
      <c r="C39" s="81">
        <v>153373</v>
      </c>
      <c r="D39" s="81">
        <v>234484</v>
      </c>
      <c r="E39" s="81">
        <v>201104</v>
      </c>
      <c r="F39" s="82">
        <v>1999</v>
      </c>
      <c r="G39" s="82">
        <f t="shared" ref="G39:G48" si="1">2021-F39</f>
        <v>22</v>
      </c>
      <c r="H39" s="82">
        <v>3</v>
      </c>
      <c r="I39" s="82">
        <v>1</v>
      </c>
      <c r="J39" s="82" t="s">
        <v>5</v>
      </c>
    </row>
    <row r="40" spans="1:10" s="22" customFormat="1" ht="72.599999999999994" customHeight="1" x14ac:dyDescent="0.25">
      <c r="A40" s="18" t="s">
        <v>274</v>
      </c>
      <c r="B40" s="21">
        <v>94830</v>
      </c>
      <c r="C40" s="21">
        <v>81030</v>
      </c>
      <c r="D40" s="21">
        <v>125610</v>
      </c>
      <c r="E40" s="21" t="s">
        <v>115</v>
      </c>
      <c r="F40" s="52">
        <v>1992</v>
      </c>
      <c r="G40" s="52">
        <f t="shared" si="1"/>
        <v>29</v>
      </c>
      <c r="H40" s="52">
        <v>6</v>
      </c>
      <c r="I40" s="52">
        <v>1</v>
      </c>
      <c r="J40" s="52" t="s">
        <v>273</v>
      </c>
    </row>
    <row r="41" spans="1:10" s="22" customFormat="1" x14ac:dyDescent="0.25">
      <c r="A41" s="18" t="s">
        <v>286</v>
      </c>
      <c r="B41" s="21">
        <v>34488.080000000002</v>
      </c>
      <c r="C41" s="21">
        <v>35323.800000000003</v>
      </c>
      <c r="D41" s="21">
        <v>41796.589999999997</v>
      </c>
      <c r="E41" s="21" t="s">
        <v>115</v>
      </c>
      <c r="F41" s="52">
        <v>2001</v>
      </c>
      <c r="G41" s="52">
        <f t="shared" si="1"/>
        <v>20</v>
      </c>
      <c r="H41" s="52">
        <v>5</v>
      </c>
      <c r="I41" s="52">
        <v>1</v>
      </c>
      <c r="J41" s="52" t="s">
        <v>35</v>
      </c>
    </row>
    <row r="42" spans="1:10" s="22" customFormat="1" ht="30" x14ac:dyDescent="0.25">
      <c r="A42" s="18" t="s">
        <v>289</v>
      </c>
      <c r="B42" s="21">
        <v>260705</v>
      </c>
      <c r="C42" s="21">
        <v>300465</v>
      </c>
      <c r="D42" s="21" t="s">
        <v>115</v>
      </c>
      <c r="E42" s="21" t="s">
        <v>115</v>
      </c>
      <c r="F42" s="52">
        <v>2002</v>
      </c>
      <c r="G42" s="52">
        <f t="shared" si="1"/>
        <v>19</v>
      </c>
      <c r="H42" s="52">
        <v>3</v>
      </c>
      <c r="I42" s="52">
        <v>1</v>
      </c>
      <c r="J42" s="52" t="s">
        <v>5</v>
      </c>
    </row>
    <row r="43" spans="1:10" s="84" customFormat="1" ht="45" x14ac:dyDescent="0.25">
      <c r="A43" s="80" t="s">
        <v>295</v>
      </c>
      <c r="B43" s="81">
        <v>261871.28</v>
      </c>
      <c r="C43" s="81">
        <v>296830.99</v>
      </c>
      <c r="D43" s="81">
        <v>341797.96</v>
      </c>
      <c r="E43" s="81">
        <v>79430.36</v>
      </c>
      <c r="F43" s="82">
        <v>1969</v>
      </c>
      <c r="G43" s="82">
        <f t="shared" si="1"/>
        <v>52</v>
      </c>
      <c r="H43" s="82">
        <v>3</v>
      </c>
      <c r="I43" s="82">
        <v>1</v>
      </c>
      <c r="J43" s="82" t="s">
        <v>297</v>
      </c>
    </row>
    <row r="44" spans="1:10" s="84" customFormat="1" ht="45" x14ac:dyDescent="0.25">
      <c r="A44" s="80" t="s">
        <v>300</v>
      </c>
      <c r="B44" s="81">
        <v>1856190</v>
      </c>
      <c r="C44" s="81">
        <v>2183105</v>
      </c>
      <c r="D44" s="81">
        <v>2230268</v>
      </c>
      <c r="E44" s="81">
        <v>1469136</v>
      </c>
      <c r="F44" s="82">
        <v>2002</v>
      </c>
      <c r="G44" s="82">
        <f t="shared" si="1"/>
        <v>19</v>
      </c>
      <c r="H44" s="82">
        <v>1</v>
      </c>
      <c r="I44" s="82">
        <v>1</v>
      </c>
      <c r="J44" s="82" t="s">
        <v>5</v>
      </c>
    </row>
    <row r="45" spans="1:10" s="84" customFormat="1" x14ac:dyDescent="0.25">
      <c r="A45" s="80" t="s">
        <v>304</v>
      </c>
      <c r="B45" s="81">
        <v>205448</v>
      </c>
      <c r="C45" s="81">
        <v>501067</v>
      </c>
      <c r="D45" s="81">
        <v>692600</v>
      </c>
      <c r="E45" s="81">
        <v>721897</v>
      </c>
      <c r="F45" s="82">
        <v>1967</v>
      </c>
      <c r="G45" s="82">
        <f t="shared" si="1"/>
        <v>54</v>
      </c>
      <c r="H45" s="82">
        <v>1</v>
      </c>
      <c r="I45" s="82">
        <v>1</v>
      </c>
      <c r="J45" s="82" t="s">
        <v>5</v>
      </c>
    </row>
    <row r="46" spans="1:10" s="84" customFormat="1" ht="30" x14ac:dyDescent="0.25">
      <c r="A46" s="80" t="s">
        <v>311</v>
      </c>
      <c r="B46" s="81">
        <v>526000</v>
      </c>
      <c r="C46" s="81">
        <v>444000</v>
      </c>
      <c r="D46" s="81">
        <v>398000</v>
      </c>
      <c r="E46" s="81">
        <v>302000</v>
      </c>
      <c r="F46" s="82">
        <v>1967</v>
      </c>
      <c r="G46" s="82">
        <f t="shared" si="1"/>
        <v>54</v>
      </c>
      <c r="H46" s="82">
        <v>1</v>
      </c>
      <c r="I46" s="82">
        <v>1</v>
      </c>
      <c r="J46" s="82" t="s">
        <v>5</v>
      </c>
    </row>
    <row r="47" spans="1:10" s="22" customFormat="1" ht="60" x14ac:dyDescent="0.25">
      <c r="A47" s="18" t="s">
        <v>313</v>
      </c>
      <c r="B47" s="21" t="s">
        <v>115</v>
      </c>
      <c r="C47" s="21" t="s">
        <v>115</v>
      </c>
      <c r="D47" s="21">
        <v>169987.75</v>
      </c>
      <c r="E47" s="21">
        <v>134802.14000000001</v>
      </c>
      <c r="F47" s="52">
        <v>1986</v>
      </c>
      <c r="G47" s="52">
        <f t="shared" si="1"/>
        <v>35</v>
      </c>
      <c r="H47" s="52">
        <v>3</v>
      </c>
      <c r="I47" s="52">
        <v>1</v>
      </c>
      <c r="J47" s="52" t="s">
        <v>192</v>
      </c>
    </row>
    <row r="48" spans="1:10" s="84" customFormat="1" ht="60" x14ac:dyDescent="0.25">
      <c r="A48" s="80" t="s">
        <v>316</v>
      </c>
      <c r="B48" s="81">
        <v>153000</v>
      </c>
      <c r="C48" s="81">
        <v>657140</v>
      </c>
      <c r="D48" s="81">
        <v>785134</v>
      </c>
      <c r="E48" s="81">
        <v>944368</v>
      </c>
      <c r="F48" s="82">
        <v>2000</v>
      </c>
      <c r="G48" s="82">
        <f t="shared" si="1"/>
        <v>21</v>
      </c>
      <c r="H48" s="82">
        <v>1</v>
      </c>
      <c r="I48" s="82">
        <v>1</v>
      </c>
      <c r="J48" s="82" t="s">
        <v>5</v>
      </c>
    </row>
    <row r="49" spans="1:10" x14ac:dyDescent="0.25">
      <c r="A49" s="4"/>
      <c r="B49" s="5"/>
      <c r="C49" s="5"/>
      <c r="D49" s="5"/>
      <c r="E49" s="5"/>
      <c r="F49" s="39"/>
      <c r="G49" s="39"/>
      <c r="H49" s="39"/>
      <c r="I49" s="39"/>
      <c r="J49" s="39"/>
    </row>
    <row r="50" spans="1:10" x14ac:dyDescent="0.25">
      <c r="A50" s="4"/>
      <c r="B50" s="5"/>
      <c r="C50" s="5"/>
      <c r="D50" s="5"/>
      <c r="E50" s="5"/>
      <c r="F50" s="39"/>
      <c r="G50" s="39"/>
      <c r="H50" s="39"/>
      <c r="I50" s="39"/>
      <c r="J50" s="39"/>
    </row>
    <row r="51" spans="1:10" x14ac:dyDescent="0.25">
      <c r="A51" s="4"/>
      <c r="B51" s="5"/>
      <c r="C51" s="5"/>
      <c r="D51" s="5"/>
      <c r="E51" s="5"/>
      <c r="F51" s="39"/>
      <c r="G51" s="39"/>
      <c r="H51" s="39"/>
      <c r="I51" s="39"/>
      <c r="J51" s="39"/>
    </row>
    <row r="52" spans="1:10" x14ac:dyDescent="0.25">
      <c r="A52" s="4"/>
      <c r="B52" s="5"/>
      <c r="C52" s="5"/>
      <c r="D52" s="5"/>
      <c r="E52" s="5"/>
      <c r="F52" s="39"/>
      <c r="G52" s="39"/>
      <c r="H52" s="39"/>
      <c r="I52" s="39"/>
      <c r="J52" s="39"/>
    </row>
    <row r="53" spans="1:10" x14ac:dyDescent="0.25">
      <c r="A53" s="4"/>
      <c r="B53" s="5"/>
      <c r="C53" s="5"/>
      <c r="D53" s="5"/>
      <c r="E53" s="5"/>
      <c r="F53" s="39"/>
      <c r="G53" s="39"/>
      <c r="H53" s="39"/>
      <c r="I53" s="39"/>
      <c r="J53" s="39"/>
    </row>
    <row r="54" spans="1:10" x14ac:dyDescent="0.25">
      <c r="A54" s="4"/>
      <c r="B54" s="5"/>
      <c r="C54" s="5"/>
      <c r="D54" s="5"/>
      <c r="E54" s="5"/>
      <c r="F54" s="39"/>
      <c r="G54" s="39"/>
      <c r="H54" s="39"/>
      <c r="I54" s="39"/>
      <c r="J54" s="39"/>
    </row>
    <row r="55" spans="1:10" x14ac:dyDescent="0.25">
      <c r="A55" s="4"/>
      <c r="B55" s="5"/>
      <c r="C55" s="5"/>
      <c r="D55" s="5"/>
      <c r="E55" s="5"/>
      <c r="F55" s="39"/>
      <c r="G55" s="39"/>
      <c r="H55" s="39"/>
      <c r="I55" s="39"/>
      <c r="J55" s="39"/>
    </row>
    <row r="56" spans="1:10" x14ac:dyDescent="0.25">
      <c r="A56" s="4"/>
      <c r="B56" s="5"/>
      <c r="C56" s="5"/>
      <c r="D56" s="5"/>
      <c r="E56" s="5"/>
      <c r="F56" s="39"/>
      <c r="G56" s="39"/>
      <c r="H56" s="39"/>
      <c r="I56" s="39"/>
      <c r="J56" s="39"/>
    </row>
    <row r="57" spans="1:10" x14ac:dyDescent="0.25">
      <c r="A57" s="4"/>
      <c r="B57" s="5"/>
      <c r="C57" s="5"/>
      <c r="D57" s="5"/>
      <c r="E57" s="5"/>
      <c r="F57" s="39"/>
      <c r="G57" s="39"/>
      <c r="H57" s="39"/>
      <c r="I57" s="39"/>
      <c r="J57" s="39"/>
    </row>
    <row r="58" spans="1:10" x14ac:dyDescent="0.25">
      <c r="A58" s="4"/>
      <c r="B58" s="5"/>
      <c r="C58" s="5"/>
      <c r="D58" s="5"/>
      <c r="E58" s="5"/>
      <c r="F58" s="39"/>
      <c r="G58" s="39"/>
      <c r="H58" s="39"/>
      <c r="I58" s="39"/>
      <c r="J58" s="39"/>
    </row>
    <row r="59" spans="1:10" x14ac:dyDescent="0.25">
      <c r="A59" s="4"/>
      <c r="B59" s="5"/>
      <c r="C59" s="5"/>
      <c r="D59" s="5"/>
      <c r="E59" s="5"/>
      <c r="F59" s="39"/>
      <c r="G59" s="39"/>
      <c r="H59" s="39"/>
      <c r="I59" s="39"/>
      <c r="J59" s="39"/>
    </row>
    <row r="60" spans="1:10" x14ac:dyDescent="0.25">
      <c r="A60" s="4"/>
      <c r="B60" s="5"/>
      <c r="C60" s="5"/>
      <c r="D60" s="5"/>
      <c r="E60" s="5"/>
      <c r="F60" s="39"/>
      <c r="G60" s="39"/>
      <c r="H60" s="39"/>
      <c r="I60" s="39"/>
      <c r="J60" s="39"/>
    </row>
    <row r="61" spans="1:10" x14ac:dyDescent="0.25">
      <c r="A61" s="4"/>
      <c r="B61" s="5"/>
      <c r="C61" s="5"/>
      <c r="D61" s="5"/>
      <c r="E61" s="5"/>
      <c r="F61" s="39"/>
      <c r="G61" s="39"/>
      <c r="H61" s="39"/>
      <c r="I61" s="39"/>
      <c r="J61" s="39"/>
    </row>
    <row r="62" spans="1:10" x14ac:dyDescent="0.25">
      <c r="A62" s="4"/>
      <c r="B62" s="5"/>
      <c r="C62" s="5"/>
      <c r="D62" s="5"/>
      <c r="E62" s="5"/>
      <c r="F62" s="39"/>
      <c r="G62" s="39"/>
      <c r="H62" s="39"/>
      <c r="I62" s="39"/>
      <c r="J62" s="39"/>
    </row>
    <row r="63" spans="1:10" x14ac:dyDescent="0.25">
      <c r="A63" s="4"/>
      <c r="B63" s="5"/>
      <c r="C63" s="5"/>
      <c r="D63" s="5"/>
      <c r="E63" s="5"/>
      <c r="F63" s="39"/>
      <c r="G63" s="39"/>
      <c r="H63" s="39"/>
      <c r="I63" s="39"/>
      <c r="J63" s="39"/>
    </row>
    <row r="64" spans="1:10" x14ac:dyDescent="0.25">
      <c r="A64" s="4"/>
      <c r="B64" s="5"/>
      <c r="C64" s="5"/>
      <c r="D64" s="5"/>
      <c r="E64" s="5"/>
      <c r="F64" s="39"/>
      <c r="G64" s="39"/>
      <c r="H64" s="39"/>
      <c r="I64" s="39"/>
      <c r="J64" s="39"/>
    </row>
    <row r="65" spans="1:10" x14ac:dyDescent="0.25">
      <c r="A65" s="4"/>
      <c r="B65" s="5"/>
      <c r="C65" s="5"/>
      <c r="D65" s="5"/>
      <c r="E65" s="5"/>
      <c r="F65" s="39"/>
      <c r="G65" s="39"/>
      <c r="H65" s="39"/>
      <c r="I65" s="39"/>
      <c r="J65" s="39"/>
    </row>
    <row r="66" spans="1:10" x14ac:dyDescent="0.25">
      <c r="A66" s="4"/>
      <c r="B66" s="5"/>
      <c r="C66" s="5"/>
      <c r="D66" s="5"/>
      <c r="E66" s="5"/>
      <c r="F66" s="39"/>
      <c r="G66" s="39"/>
      <c r="H66" s="39"/>
      <c r="I66" s="39"/>
      <c r="J66" s="39"/>
    </row>
    <row r="67" spans="1:10" x14ac:dyDescent="0.25">
      <c r="A67" s="4"/>
      <c r="B67" s="5"/>
      <c r="C67" s="5"/>
      <c r="D67" s="5"/>
      <c r="E67" s="5"/>
      <c r="F67" s="39"/>
      <c r="G67" s="39"/>
      <c r="H67" s="39"/>
      <c r="I67" s="39"/>
      <c r="J67" s="39"/>
    </row>
    <row r="68" spans="1:10" x14ac:dyDescent="0.25">
      <c r="A68" s="4"/>
      <c r="B68" s="5"/>
      <c r="C68" s="5"/>
      <c r="D68" s="5"/>
      <c r="E68" s="5"/>
      <c r="F68" s="39"/>
      <c r="G68" s="39"/>
      <c r="H68" s="39"/>
      <c r="I68" s="39"/>
      <c r="J68" s="39"/>
    </row>
    <row r="69" spans="1:10" x14ac:dyDescent="0.25">
      <c r="A69" s="4"/>
      <c r="B69" s="5"/>
      <c r="C69" s="5"/>
      <c r="D69" s="5"/>
      <c r="E69" s="5"/>
      <c r="F69" s="39"/>
      <c r="G69" s="39"/>
      <c r="H69" s="39"/>
      <c r="I69" s="39"/>
      <c r="J69" s="39"/>
    </row>
    <row r="70" spans="1:10" x14ac:dyDescent="0.25">
      <c r="A70" s="4"/>
      <c r="B70" s="5"/>
      <c r="C70" s="5"/>
      <c r="D70" s="5"/>
      <c r="E70" s="5"/>
      <c r="F70" s="39"/>
      <c r="G70" s="39"/>
      <c r="H70" s="39"/>
      <c r="I70" s="39"/>
      <c r="J70" s="39"/>
    </row>
    <row r="71" spans="1:10" x14ac:dyDescent="0.25">
      <c r="A71" s="4"/>
      <c r="B71" s="5"/>
      <c r="C71" s="5"/>
      <c r="D71" s="5"/>
      <c r="E71" s="5"/>
      <c r="F71" s="39"/>
      <c r="G71" s="39"/>
      <c r="H71" s="39"/>
      <c r="I71" s="39"/>
      <c r="J71" s="39"/>
    </row>
    <row r="72" spans="1:10" x14ac:dyDescent="0.25">
      <c r="A72" s="4"/>
      <c r="B72" s="5"/>
      <c r="C72" s="5"/>
      <c r="D72" s="5"/>
      <c r="E72" s="5"/>
      <c r="F72" s="39"/>
      <c r="G72" s="39"/>
      <c r="H72" s="39"/>
      <c r="I72" s="39"/>
      <c r="J72" s="39"/>
    </row>
    <row r="73" spans="1:10" x14ac:dyDescent="0.25">
      <c r="A73" s="4"/>
      <c r="B73" s="5"/>
      <c r="C73" s="5"/>
      <c r="D73" s="5"/>
      <c r="E73" s="5"/>
      <c r="F73" s="39"/>
      <c r="G73" s="39"/>
      <c r="H73" s="39"/>
      <c r="I73" s="39"/>
      <c r="J73" s="39"/>
    </row>
    <row r="74" spans="1:10" x14ac:dyDescent="0.25">
      <c r="A74" s="4"/>
      <c r="B74" s="5"/>
      <c r="C74" s="5"/>
      <c r="D74" s="5"/>
      <c r="E74" s="5"/>
      <c r="F74" s="39"/>
      <c r="G74" s="39"/>
      <c r="H74" s="39"/>
      <c r="I74" s="39"/>
      <c r="J74" s="39"/>
    </row>
    <row r="75" spans="1:10" x14ac:dyDescent="0.25">
      <c r="A75" s="4"/>
      <c r="B75" s="5"/>
      <c r="C75" s="5"/>
      <c r="D75" s="5"/>
      <c r="E75" s="5"/>
      <c r="F75" s="39"/>
      <c r="G75" s="39"/>
      <c r="H75" s="39"/>
      <c r="I75" s="39"/>
      <c r="J75" s="39"/>
    </row>
    <row r="76" spans="1:10" x14ac:dyDescent="0.25">
      <c r="A76" s="4"/>
      <c r="B76" s="5"/>
      <c r="C76" s="5"/>
      <c r="D76" s="5"/>
      <c r="E76" s="5"/>
      <c r="F76" s="39"/>
      <c r="G76" s="39"/>
      <c r="H76" s="39"/>
      <c r="I76" s="39"/>
      <c r="J76" s="39"/>
    </row>
    <row r="77" spans="1:10" x14ac:dyDescent="0.25">
      <c r="A77" s="4"/>
      <c r="B77" s="5"/>
      <c r="C77" s="5"/>
      <c r="D77" s="5"/>
      <c r="E77" s="5"/>
      <c r="F77" s="39"/>
      <c r="G77" s="39"/>
      <c r="H77" s="39"/>
      <c r="I77" s="39"/>
      <c r="J77" s="39"/>
    </row>
    <row r="78" spans="1:10" x14ac:dyDescent="0.25">
      <c r="A78" s="4"/>
      <c r="B78" s="5"/>
      <c r="C78" s="5"/>
      <c r="D78" s="5"/>
      <c r="E78" s="5"/>
      <c r="F78" s="39"/>
      <c r="G78" s="39"/>
      <c r="H78" s="39"/>
      <c r="I78" s="39"/>
      <c r="J78" s="39"/>
    </row>
    <row r="79" spans="1:10" x14ac:dyDescent="0.25">
      <c r="A79" s="4"/>
      <c r="B79" s="5"/>
      <c r="C79" s="5"/>
      <c r="D79" s="5"/>
      <c r="E79" s="5"/>
      <c r="F79" s="39"/>
      <c r="G79" s="39"/>
      <c r="H79" s="39"/>
      <c r="I79" s="39"/>
      <c r="J79" s="39"/>
    </row>
    <row r="80" spans="1:10" x14ac:dyDescent="0.25">
      <c r="A80" s="4"/>
      <c r="B80" s="5"/>
      <c r="C80" s="5"/>
      <c r="D80" s="5"/>
      <c r="E80" s="5"/>
      <c r="F80" s="39"/>
      <c r="G80" s="39"/>
      <c r="H80" s="39"/>
      <c r="I80" s="39"/>
      <c r="J80" s="39"/>
    </row>
    <row r="81" spans="1:10" x14ac:dyDescent="0.25">
      <c r="A81" s="4"/>
      <c r="B81" s="5"/>
      <c r="C81" s="5"/>
      <c r="D81" s="5"/>
      <c r="E81" s="5"/>
      <c r="F81" s="39"/>
      <c r="G81" s="39"/>
      <c r="H81" s="39"/>
      <c r="I81" s="39"/>
      <c r="J81" s="39"/>
    </row>
    <row r="82" spans="1:10" x14ac:dyDescent="0.25">
      <c r="A82" s="4"/>
      <c r="B82" s="5"/>
      <c r="C82" s="5"/>
      <c r="D82" s="5"/>
      <c r="E82" s="5"/>
      <c r="F82" s="39"/>
      <c r="G82" s="39"/>
      <c r="H82" s="39"/>
      <c r="I82" s="39"/>
      <c r="J82" s="39"/>
    </row>
    <row r="83" spans="1:10" x14ac:dyDescent="0.25">
      <c r="A83" s="4"/>
      <c r="B83" s="5"/>
      <c r="C83" s="5"/>
      <c r="D83" s="5"/>
      <c r="E83" s="5"/>
      <c r="F83" s="39"/>
      <c r="G83" s="39"/>
      <c r="H83" s="39"/>
      <c r="I83" s="39"/>
      <c r="J83" s="39"/>
    </row>
    <row r="84" spans="1:10" x14ac:dyDescent="0.25">
      <c r="A84" s="4"/>
      <c r="B84" s="5"/>
      <c r="C84" s="5"/>
      <c r="D84" s="5"/>
      <c r="E84" s="5"/>
      <c r="F84" s="39"/>
      <c r="G84" s="39"/>
      <c r="H84" s="39"/>
      <c r="I84" s="39"/>
      <c r="J84" s="39"/>
    </row>
    <row r="85" spans="1:10" x14ac:dyDescent="0.25">
      <c r="A85" s="4"/>
      <c r="B85" s="5"/>
      <c r="C85" s="5"/>
      <c r="D85" s="5"/>
      <c r="E85" s="5"/>
      <c r="F85" s="39"/>
      <c r="G85" s="39"/>
      <c r="H85" s="39"/>
      <c r="I85" s="39"/>
      <c r="J85" s="39"/>
    </row>
    <row r="86" spans="1:10" x14ac:dyDescent="0.25">
      <c r="A86" s="4"/>
      <c r="B86" s="5"/>
      <c r="C86" s="5"/>
      <c r="D86" s="5"/>
      <c r="E86" s="5"/>
      <c r="F86" s="39"/>
      <c r="G86" s="39"/>
      <c r="H86" s="39"/>
      <c r="I86" s="39"/>
      <c r="J86" s="39"/>
    </row>
    <row r="87" spans="1:10" x14ac:dyDescent="0.25">
      <c r="A87" s="4"/>
      <c r="B87" s="5"/>
      <c r="C87" s="5"/>
      <c r="D87" s="5"/>
      <c r="E87" s="5"/>
      <c r="F87" s="39"/>
      <c r="G87" s="39"/>
      <c r="H87" s="39"/>
      <c r="I87" s="39"/>
      <c r="J87" s="39"/>
    </row>
    <row r="88" spans="1:10" x14ac:dyDescent="0.25">
      <c r="A88" s="4"/>
      <c r="B88" s="5"/>
      <c r="C88" s="5"/>
      <c r="D88" s="5"/>
      <c r="E88" s="5"/>
      <c r="F88" s="39"/>
      <c r="G88" s="39"/>
      <c r="H88" s="39"/>
      <c r="I88" s="39"/>
      <c r="J88" s="39"/>
    </row>
    <row r="89" spans="1:10" x14ac:dyDescent="0.25">
      <c r="A89" s="4"/>
      <c r="B89" s="5"/>
      <c r="C89" s="5"/>
      <c r="D89" s="5"/>
      <c r="E89" s="5"/>
      <c r="F89" s="39"/>
      <c r="G89" s="39"/>
      <c r="H89" s="39"/>
      <c r="I89" s="39"/>
      <c r="J89" s="39"/>
    </row>
    <row r="90" spans="1:10" x14ac:dyDescent="0.25">
      <c r="A90" s="4"/>
      <c r="B90" s="5"/>
      <c r="C90" s="5"/>
      <c r="D90" s="5"/>
      <c r="E90" s="5"/>
      <c r="F90" s="39"/>
      <c r="G90" s="39"/>
      <c r="H90" s="39"/>
      <c r="I90" s="39"/>
      <c r="J90" s="39"/>
    </row>
    <row r="91" spans="1:10" x14ac:dyDescent="0.25">
      <c r="A91" s="4"/>
      <c r="B91" s="5"/>
      <c r="C91" s="5"/>
      <c r="D91" s="5"/>
      <c r="E91" s="5"/>
      <c r="F91" s="39"/>
      <c r="G91" s="39"/>
      <c r="H91" s="39"/>
      <c r="I91" s="39"/>
      <c r="J91" s="39"/>
    </row>
    <row r="92" spans="1:10" x14ac:dyDescent="0.25">
      <c r="A92" s="4"/>
      <c r="B92" s="5"/>
      <c r="C92" s="5"/>
      <c r="D92" s="5"/>
      <c r="E92" s="5"/>
      <c r="F92" s="39"/>
      <c r="G92" s="39"/>
      <c r="H92" s="39"/>
      <c r="I92" s="39"/>
      <c r="J92" s="39"/>
    </row>
    <row r="93" spans="1:10" x14ac:dyDescent="0.25">
      <c r="A93" s="4"/>
      <c r="B93" s="5"/>
      <c r="C93" s="5"/>
      <c r="D93" s="5"/>
      <c r="E93" s="5"/>
      <c r="F93" s="39"/>
      <c r="G93" s="39"/>
      <c r="H93" s="39"/>
      <c r="I93" s="39"/>
      <c r="J93" s="39"/>
    </row>
    <row r="94" spans="1:10" x14ac:dyDescent="0.25">
      <c r="A94" s="4"/>
      <c r="B94" s="5"/>
      <c r="C94" s="5"/>
      <c r="D94" s="5"/>
      <c r="E94" s="5"/>
      <c r="F94" s="39"/>
      <c r="G94" s="39"/>
      <c r="H94" s="39"/>
      <c r="I94" s="39"/>
      <c r="J94" s="39"/>
    </row>
    <row r="95" spans="1:10" x14ac:dyDescent="0.25">
      <c r="A95" s="4"/>
      <c r="B95" s="5"/>
      <c r="C95" s="5"/>
      <c r="D95" s="5"/>
      <c r="E95" s="5"/>
      <c r="F95" s="39"/>
      <c r="G95" s="39"/>
      <c r="H95" s="39"/>
      <c r="I95" s="39"/>
      <c r="J95" s="39"/>
    </row>
    <row r="96" spans="1:10" x14ac:dyDescent="0.25">
      <c r="A96" s="4"/>
      <c r="B96" s="5"/>
      <c r="C96" s="5"/>
      <c r="D96" s="5"/>
      <c r="E96" s="5"/>
      <c r="F96" s="39"/>
      <c r="G96" s="39"/>
      <c r="H96" s="39"/>
      <c r="I96" s="39"/>
      <c r="J96" s="39"/>
    </row>
    <row r="97" spans="1:10" x14ac:dyDescent="0.25">
      <c r="A97" s="4"/>
      <c r="B97" s="5"/>
      <c r="C97" s="5"/>
      <c r="D97" s="5"/>
      <c r="E97" s="5"/>
      <c r="F97" s="39"/>
      <c r="G97" s="39"/>
      <c r="H97" s="39"/>
      <c r="I97" s="39"/>
      <c r="J97" s="39"/>
    </row>
    <row r="98" spans="1:10" x14ac:dyDescent="0.25">
      <c r="A98" s="4"/>
      <c r="B98" s="5"/>
      <c r="C98" s="5"/>
      <c r="D98" s="5"/>
      <c r="E98" s="5"/>
      <c r="F98" s="39"/>
      <c r="G98" s="39"/>
      <c r="H98" s="39"/>
      <c r="I98" s="39"/>
      <c r="J98" s="39"/>
    </row>
    <row r="99" spans="1:10" x14ac:dyDescent="0.25">
      <c r="A99" s="4"/>
      <c r="B99" s="5"/>
      <c r="C99" s="5"/>
      <c r="D99" s="5"/>
      <c r="E99" s="5"/>
      <c r="F99" s="39"/>
      <c r="G99" s="39"/>
      <c r="H99" s="39"/>
      <c r="I99" s="39"/>
      <c r="J99" s="39"/>
    </row>
    <row r="100" spans="1:10" x14ac:dyDescent="0.25">
      <c r="A100" s="4"/>
      <c r="B100" s="5"/>
      <c r="C100" s="5"/>
      <c r="D100" s="5"/>
      <c r="E100" s="5"/>
      <c r="F100" s="39"/>
      <c r="G100" s="39"/>
      <c r="H100" s="39"/>
      <c r="I100" s="39"/>
      <c r="J100" s="39"/>
    </row>
    <row r="101" spans="1:10" x14ac:dyDescent="0.25">
      <c r="A101" s="4"/>
      <c r="B101" s="5"/>
      <c r="C101" s="5"/>
      <c r="D101" s="5"/>
      <c r="E101" s="5"/>
      <c r="F101" s="39"/>
      <c r="G101" s="39"/>
      <c r="H101" s="39"/>
      <c r="I101" s="39"/>
      <c r="J101" s="39"/>
    </row>
    <row r="102" spans="1:10" x14ac:dyDescent="0.25">
      <c r="A102" s="4"/>
      <c r="B102" s="5"/>
      <c r="C102" s="5"/>
      <c r="D102" s="5"/>
      <c r="E102" s="5"/>
      <c r="F102" s="39"/>
      <c r="G102" s="39"/>
      <c r="H102" s="39"/>
      <c r="I102" s="39"/>
      <c r="J102" s="39"/>
    </row>
    <row r="103" spans="1:10" x14ac:dyDescent="0.25">
      <c r="A103" s="4"/>
      <c r="B103" s="5"/>
      <c r="C103" s="5"/>
      <c r="D103" s="5"/>
      <c r="E103" s="5"/>
      <c r="F103" s="39"/>
      <c r="G103" s="39"/>
      <c r="H103" s="39"/>
      <c r="I103" s="39"/>
      <c r="J103" s="39"/>
    </row>
    <row r="104" spans="1:10" x14ac:dyDescent="0.25">
      <c r="A104" s="4"/>
      <c r="B104" s="5"/>
      <c r="C104" s="5"/>
      <c r="D104" s="5"/>
      <c r="E104" s="5"/>
      <c r="F104" s="39"/>
      <c r="G104" s="39"/>
      <c r="H104" s="39"/>
      <c r="I104" s="39"/>
      <c r="J104" s="39"/>
    </row>
    <row r="105" spans="1:10" x14ac:dyDescent="0.25">
      <c r="A105" s="4"/>
      <c r="B105" s="5"/>
      <c r="C105" s="5"/>
      <c r="D105" s="5"/>
      <c r="E105" s="5"/>
      <c r="F105" s="39"/>
      <c r="G105" s="39"/>
      <c r="H105" s="39"/>
      <c r="I105" s="39"/>
      <c r="J105" s="39"/>
    </row>
    <row r="106" spans="1:10" x14ac:dyDescent="0.25">
      <c r="A106" s="4"/>
      <c r="B106" s="5"/>
      <c r="C106" s="5"/>
      <c r="D106" s="5"/>
      <c r="E106" s="5"/>
      <c r="F106" s="39"/>
      <c r="G106" s="39"/>
      <c r="H106" s="39"/>
      <c r="I106" s="39"/>
      <c r="J106" s="39"/>
    </row>
    <row r="107" spans="1:10" x14ac:dyDescent="0.25">
      <c r="A107" s="4"/>
      <c r="B107" s="5"/>
      <c r="C107" s="5"/>
      <c r="D107" s="5"/>
      <c r="E107" s="5"/>
      <c r="F107" s="39"/>
      <c r="G107" s="39"/>
      <c r="H107" s="39"/>
      <c r="I107" s="39"/>
      <c r="J107" s="39"/>
    </row>
    <row r="108" spans="1:10" x14ac:dyDescent="0.25">
      <c r="A108" s="4"/>
      <c r="B108" s="5"/>
      <c r="C108" s="5"/>
      <c r="D108" s="5"/>
      <c r="E108" s="5"/>
      <c r="F108" s="39"/>
      <c r="G108" s="39"/>
      <c r="H108" s="39"/>
      <c r="I108" s="39"/>
      <c r="J108" s="39"/>
    </row>
    <row r="109" spans="1:10" x14ac:dyDescent="0.25">
      <c r="A109" s="4"/>
      <c r="B109" s="5"/>
      <c r="C109" s="5"/>
      <c r="D109" s="5"/>
      <c r="E109" s="5"/>
      <c r="F109" s="39"/>
      <c r="G109" s="39"/>
      <c r="H109" s="39"/>
      <c r="I109" s="39"/>
      <c r="J109" s="39"/>
    </row>
    <row r="110" spans="1:10" x14ac:dyDescent="0.25">
      <c r="A110" s="4"/>
      <c r="B110" s="5"/>
      <c r="C110" s="5"/>
      <c r="D110" s="5"/>
      <c r="E110" s="5"/>
      <c r="F110" s="39"/>
      <c r="G110" s="39"/>
      <c r="H110" s="39"/>
      <c r="I110" s="39"/>
      <c r="J110" s="39"/>
    </row>
    <row r="111" spans="1:10" x14ac:dyDescent="0.25">
      <c r="A111" s="4"/>
      <c r="B111" s="5"/>
      <c r="C111" s="5"/>
      <c r="D111" s="5"/>
      <c r="E111" s="5"/>
      <c r="F111" s="39"/>
      <c r="G111" s="39"/>
      <c r="H111" s="39"/>
      <c r="I111" s="39"/>
      <c r="J111" s="39"/>
    </row>
    <row r="112" spans="1:10" x14ac:dyDescent="0.25">
      <c r="A112" s="4"/>
      <c r="B112" s="5"/>
      <c r="C112" s="5"/>
      <c r="D112" s="5"/>
      <c r="E112" s="5"/>
      <c r="F112" s="39"/>
      <c r="G112" s="39"/>
      <c r="H112" s="39"/>
      <c r="I112" s="39"/>
      <c r="J112" s="39"/>
    </row>
    <row r="113" spans="1:10" x14ac:dyDescent="0.25">
      <c r="A113" s="4"/>
      <c r="B113" s="5"/>
      <c r="C113" s="5"/>
      <c r="D113" s="5"/>
      <c r="E113" s="5"/>
      <c r="F113" s="39"/>
      <c r="G113" s="39"/>
      <c r="H113" s="39"/>
      <c r="I113" s="39"/>
      <c r="J113" s="39"/>
    </row>
    <row r="114" spans="1:10" x14ac:dyDescent="0.25">
      <c r="A114" s="4"/>
      <c r="B114" s="5"/>
      <c r="C114" s="5"/>
      <c r="D114" s="5"/>
      <c r="E114" s="5"/>
      <c r="F114" s="39"/>
      <c r="G114" s="39"/>
      <c r="H114" s="39"/>
      <c r="I114" s="39"/>
      <c r="J114" s="39"/>
    </row>
    <row r="115" spans="1:10" x14ac:dyDescent="0.25">
      <c r="A115" s="4"/>
      <c r="B115" s="5"/>
      <c r="C115" s="5"/>
      <c r="D115" s="5"/>
      <c r="E115" s="5"/>
      <c r="F115" s="39"/>
      <c r="G115" s="39"/>
      <c r="H115" s="39"/>
      <c r="I115" s="39"/>
      <c r="J115" s="39"/>
    </row>
    <row r="116" spans="1:10" x14ac:dyDescent="0.25">
      <c r="A116" s="4"/>
      <c r="B116" s="5"/>
      <c r="C116" s="5"/>
      <c r="D116" s="5"/>
      <c r="E116" s="5"/>
      <c r="F116" s="39"/>
      <c r="G116" s="39"/>
      <c r="H116" s="39"/>
      <c r="I116" s="39"/>
      <c r="J116" s="39"/>
    </row>
    <row r="117" spans="1:10" x14ac:dyDescent="0.25">
      <c r="A117" s="4"/>
      <c r="B117" s="5"/>
      <c r="C117" s="5"/>
      <c r="D117" s="5"/>
      <c r="E117" s="5"/>
      <c r="F117" s="39"/>
      <c r="G117" s="39"/>
      <c r="H117" s="39"/>
      <c r="I117" s="39"/>
      <c r="J117" s="39"/>
    </row>
    <row r="118" spans="1:10" x14ac:dyDescent="0.25">
      <c r="A118" s="4"/>
      <c r="B118" s="5"/>
      <c r="C118" s="5"/>
      <c r="D118" s="5"/>
      <c r="E118" s="5"/>
      <c r="F118" s="39"/>
      <c r="G118" s="39"/>
      <c r="H118" s="39"/>
      <c r="I118" s="39"/>
      <c r="J118" s="39"/>
    </row>
    <row r="119" spans="1:10" x14ac:dyDescent="0.25">
      <c r="A119" s="4"/>
      <c r="B119" s="5"/>
      <c r="C119" s="5"/>
      <c r="D119" s="5"/>
      <c r="E119" s="5"/>
      <c r="F119" s="39"/>
      <c r="G119" s="39"/>
      <c r="H119" s="39"/>
      <c r="I119" s="39"/>
      <c r="J119" s="39"/>
    </row>
    <row r="120" spans="1:10" x14ac:dyDescent="0.25">
      <c r="A120" s="4"/>
      <c r="B120" s="5"/>
      <c r="C120" s="5"/>
      <c r="D120" s="5"/>
      <c r="E120" s="5"/>
      <c r="F120" s="39"/>
      <c r="G120" s="39"/>
      <c r="H120" s="39"/>
      <c r="I120" s="39"/>
      <c r="J120" s="39"/>
    </row>
    <row r="121" spans="1:10" x14ac:dyDescent="0.25">
      <c r="A121" s="4"/>
      <c r="B121" s="5"/>
      <c r="C121" s="5"/>
      <c r="D121" s="5"/>
      <c r="E121" s="5"/>
      <c r="F121" s="39"/>
      <c r="G121" s="39"/>
      <c r="H121" s="39"/>
      <c r="I121" s="39"/>
      <c r="J121" s="39"/>
    </row>
    <row r="122" spans="1:10" x14ac:dyDescent="0.25">
      <c r="A122" s="4"/>
      <c r="B122" s="5"/>
      <c r="C122" s="5"/>
      <c r="D122" s="5"/>
      <c r="E122" s="5"/>
      <c r="F122" s="39"/>
      <c r="G122" s="39"/>
      <c r="H122" s="39"/>
      <c r="I122" s="39"/>
      <c r="J122" s="39"/>
    </row>
    <row r="123" spans="1:10" x14ac:dyDescent="0.25">
      <c r="A123" s="4"/>
      <c r="B123" s="5"/>
      <c r="C123" s="5"/>
      <c r="D123" s="5"/>
      <c r="E123" s="5"/>
      <c r="F123" s="39"/>
      <c r="G123" s="39"/>
      <c r="H123" s="39"/>
      <c r="I123" s="39"/>
      <c r="J123" s="39"/>
    </row>
    <row r="124" spans="1:10" x14ac:dyDescent="0.25">
      <c r="A124" s="4"/>
      <c r="B124" s="5"/>
      <c r="C124" s="5"/>
      <c r="D124" s="5"/>
      <c r="E124" s="5"/>
      <c r="F124" s="39"/>
      <c r="G124" s="39"/>
      <c r="H124" s="39"/>
      <c r="I124" s="39"/>
      <c r="J124" s="39"/>
    </row>
    <row r="125" spans="1:10" x14ac:dyDescent="0.25">
      <c r="A125" s="4"/>
      <c r="B125" s="5"/>
      <c r="C125" s="5"/>
      <c r="D125" s="5"/>
      <c r="E125" s="5"/>
      <c r="F125" s="39"/>
      <c r="G125" s="39"/>
      <c r="H125" s="39"/>
      <c r="I125" s="39"/>
      <c r="J125" s="39"/>
    </row>
    <row r="126" spans="1:10" x14ac:dyDescent="0.25">
      <c r="A126" s="4"/>
      <c r="B126" s="5"/>
      <c r="C126" s="5"/>
      <c r="D126" s="5"/>
      <c r="E126" s="5"/>
      <c r="F126" s="39"/>
      <c r="G126" s="39"/>
      <c r="H126" s="39"/>
      <c r="I126" s="39"/>
      <c r="J126" s="39"/>
    </row>
    <row r="127" spans="1:10" x14ac:dyDescent="0.25">
      <c r="A127" s="4"/>
      <c r="B127" s="5"/>
      <c r="C127" s="5"/>
      <c r="D127" s="5"/>
      <c r="E127" s="5"/>
      <c r="F127" s="39"/>
      <c r="G127" s="39"/>
      <c r="H127" s="39"/>
      <c r="I127" s="39"/>
      <c r="J127" s="39"/>
    </row>
    <row r="128" spans="1:10" x14ac:dyDescent="0.25">
      <c r="A128" s="4"/>
      <c r="B128" s="5"/>
      <c r="C128" s="5"/>
      <c r="D128" s="5"/>
      <c r="E128" s="5"/>
      <c r="F128" s="39"/>
      <c r="G128" s="39"/>
      <c r="H128" s="39"/>
      <c r="I128" s="39"/>
      <c r="J128" s="39"/>
    </row>
    <row r="129" spans="1:10" x14ac:dyDescent="0.25">
      <c r="A129" s="4"/>
      <c r="B129" s="5"/>
      <c r="C129" s="5"/>
      <c r="D129" s="5"/>
      <c r="E129" s="5"/>
      <c r="F129" s="39"/>
      <c r="G129" s="39"/>
      <c r="H129" s="39"/>
      <c r="I129" s="39"/>
      <c r="J129" s="39"/>
    </row>
    <row r="130" spans="1:10" x14ac:dyDescent="0.25">
      <c r="A130" s="4"/>
      <c r="B130" s="5"/>
      <c r="C130" s="5"/>
      <c r="D130" s="5"/>
      <c r="E130" s="5"/>
      <c r="F130" s="39"/>
      <c r="G130" s="39"/>
      <c r="H130" s="39"/>
      <c r="I130" s="39"/>
      <c r="J130" s="39"/>
    </row>
    <row r="131" spans="1:10" x14ac:dyDescent="0.25">
      <c r="A131" s="4"/>
      <c r="B131" s="5"/>
      <c r="C131" s="5"/>
      <c r="D131" s="5"/>
      <c r="E131" s="5"/>
      <c r="F131" s="39"/>
      <c r="G131" s="39"/>
      <c r="H131" s="39"/>
      <c r="I131" s="39"/>
      <c r="J131" s="39"/>
    </row>
    <row r="132" spans="1:10" x14ac:dyDescent="0.25">
      <c r="A132" s="4"/>
      <c r="B132" s="5"/>
      <c r="C132" s="5"/>
      <c r="D132" s="5"/>
      <c r="E132" s="5"/>
      <c r="F132" s="39"/>
      <c r="G132" s="39"/>
      <c r="H132" s="39"/>
      <c r="I132" s="39"/>
      <c r="J132" s="39"/>
    </row>
    <row r="133" spans="1:10" x14ac:dyDescent="0.25">
      <c r="A133" s="4"/>
      <c r="B133" s="5"/>
      <c r="C133" s="5"/>
      <c r="D133" s="5"/>
      <c r="E133" s="5"/>
      <c r="F133" s="39"/>
      <c r="G133" s="39"/>
      <c r="H133" s="39"/>
      <c r="I133" s="39"/>
      <c r="J133" s="39"/>
    </row>
    <row r="134" spans="1:10" x14ac:dyDescent="0.25">
      <c r="A134" s="4"/>
      <c r="B134" s="5"/>
      <c r="C134" s="5"/>
      <c r="D134" s="5"/>
      <c r="E134" s="5"/>
      <c r="F134" s="39"/>
      <c r="G134" s="39"/>
      <c r="H134" s="39"/>
      <c r="I134" s="39"/>
      <c r="J134" s="39"/>
    </row>
    <row r="135" spans="1:10" x14ac:dyDescent="0.25">
      <c r="A135" s="4"/>
      <c r="B135" s="5"/>
      <c r="C135" s="5"/>
      <c r="D135" s="5"/>
      <c r="E135" s="5"/>
      <c r="F135" s="39"/>
      <c r="G135" s="39"/>
      <c r="H135" s="39"/>
      <c r="I135" s="39"/>
      <c r="J135" s="39"/>
    </row>
    <row r="136" spans="1:10" x14ac:dyDescent="0.25">
      <c r="A136" s="4"/>
      <c r="B136" s="5"/>
      <c r="C136" s="5"/>
      <c r="D136" s="5"/>
      <c r="E136" s="5"/>
      <c r="F136" s="39"/>
      <c r="G136" s="39"/>
      <c r="H136" s="39"/>
      <c r="I136" s="39"/>
      <c r="J136" s="39"/>
    </row>
    <row r="137" spans="1:10" x14ac:dyDescent="0.25">
      <c r="A137" s="4"/>
      <c r="B137" s="5"/>
      <c r="C137" s="5"/>
      <c r="D137" s="5"/>
      <c r="E137" s="5"/>
      <c r="F137" s="39"/>
      <c r="G137" s="39"/>
      <c r="H137" s="39"/>
      <c r="I137" s="39"/>
      <c r="J137" s="39"/>
    </row>
    <row r="138" spans="1:10" x14ac:dyDescent="0.25">
      <c r="A138" s="4"/>
      <c r="B138" s="5"/>
      <c r="C138" s="5"/>
      <c r="D138" s="5"/>
      <c r="E138" s="5"/>
      <c r="F138" s="39"/>
      <c r="G138" s="39"/>
      <c r="H138" s="39"/>
      <c r="I138" s="39"/>
      <c r="J138" s="39"/>
    </row>
    <row r="139" spans="1:10" x14ac:dyDescent="0.25">
      <c r="A139" s="4"/>
      <c r="B139" s="5"/>
      <c r="C139" s="5"/>
      <c r="D139" s="5"/>
      <c r="E139" s="5"/>
      <c r="F139" s="39"/>
      <c r="G139" s="39"/>
      <c r="H139" s="39"/>
      <c r="I139" s="39"/>
      <c r="J139" s="39"/>
    </row>
    <row r="140" spans="1:10" x14ac:dyDescent="0.25">
      <c r="A140" s="4"/>
      <c r="B140" s="5"/>
      <c r="C140" s="5"/>
      <c r="D140" s="5"/>
      <c r="E140" s="5"/>
      <c r="F140" s="39"/>
      <c r="G140" s="39"/>
      <c r="H140" s="39"/>
      <c r="I140" s="39"/>
      <c r="J140" s="39"/>
    </row>
    <row r="141" spans="1:10" x14ac:dyDescent="0.25">
      <c r="A141" s="4"/>
      <c r="B141" s="5"/>
      <c r="C141" s="5"/>
      <c r="D141" s="5"/>
      <c r="E141" s="5"/>
      <c r="F141" s="39"/>
      <c r="G141" s="39"/>
      <c r="H141" s="39"/>
      <c r="I141" s="39"/>
      <c r="J141" s="39"/>
    </row>
    <row r="142" spans="1:10" x14ac:dyDescent="0.25">
      <c r="A142" s="4"/>
      <c r="B142" s="5"/>
      <c r="C142" s="5"/>
      <c r="D142" s="5"/>
      <c r="E142" s="5"/>
      <c r="F142" s="39"/>
      <c r="G142" s="39"/>
      <c r="H142" s="39"/>
      <c r="I142" s="39"/>
      <c r="J142" s="39"/>
    </row>
    <row r="143" spans="1:10" x14ac:dyDescent="0.25">
      <c r="A143" s="4"/>
      <c r="B143" s="5"/>
      <c r="C143" s="5"/>
      <c r="D143" s="5"/>
      <c r="E143" s="5"/>
      <c r="F143" s="39"/>
      <c r="G143" s="39"/>
      <c r="H143" s="39"/>
      <c r="I143" s="39"/>
      <c r="J143" s="39"/>
    </row>
    <row r="144" spans="1:10" x14ac:dyDescent="0.25">
      <c r="A144" s="4"/>
      <c r="B144" s="5"/>
      <c r="C144" s="5"/>
      <c r="D144" s="5"/>
      <c r="E144" s="5"/>
      <c r="F144" s="39"/>
      <c r="G144" s="39"/>
      <c r="H144" s="39"/>
      <c r="I144" s="39"/>
      <c r="J144" s="39"/>
    </row>
    <row r="145" spans="1:10" x14ac:dyDescent="0.25">
      <c r="A145" s="4"/>
      <c r="B145" s="5"/>
      <c r="C145" s="5"/>
      <c r="D145" s="5"/>
      <c r="E145" s="5"/>
      <c r="F145" s="39"/>
      <c r="G145" s="39"/>
      <c r="H145" s="39"/>
      <c r="I145" s="39"/>
      <c r="J145" s="39"/>
    </row>
    <row r="146" spans="1:10" x14ac:dyDescent="0.25">
      <c r="A146" s="4"/>
      <c r="B146" s="5"/>
      <c r="C146" s="5"/>
      <c r="D146" s="5"/>
      <c r="E146" s="5"/>
      <c r="F146" s="39"/>
      <c r="G146" s="39"/>
      <c r="H146" s="39"/>
      <c r="I146" s="39"/>
      <c r="J146" s="39"/>
    </row>
    <row r="147" spans="1:10" x14ac:dyDescent="0.25">
      <c r="A147" s="4"/>
      <c r="B147" s="5"/>
      <c r="C147" s="5"/>
      <c r="D147" s="5"/>
      <c r="E147" s="5"/>
      <c r="F147" s="39"/>
      <c r="G147" s="39"/>
      <c r="H147" s="39"/>
      <c r="I147" s="39"/>
      <c r="J147" s="39"/>
    </row>
    <row r="148" spans="1:10" x14ac:dyDescent="0.25">
      <c r="A148" s="4"/>
      <c r="B148" s="5"/>
      <c r="C148" s="5"/>
      <c r="D148" s="5"/>
      <c r="E148" s="5"/>
      <c r="F148" s="39"/>
      <c r="G148" s="39"/>
      <c r="H148" s="39"/>
      <c r="I148" s="39"/>
      <c r="J148" s="39"/>
    </row>
    <row r="149" spans="1:10" x14ac:dyDescent="0.25">
      <c r="A149" s="4"/>
      <c r="B149" s="5"/>
      <c r="C149" s="5"/>
      <c r="D149" s="5"/>
      <c r="E149" s="5"/>
      <c r="F149" s="39"/>
      <c r="G149" s="39"/>
      <c r="H149" s="39"/>
      <c r="I149" s="39"/>
      <c r="J149" s="39"/>
    </row>
    <row r="150" spans="1:10" x14ac:dyDescent="0.25">
      <c r="A150" s="4"/>
      <c r="B150" s="5"/>
      <c r="C150" s="5"/>
      <c r="D150" s="5"/>
      <c r="E150" s="5"/>
      <c r="F150" s="39"/>
      <c r="G150" s="39"/>
      <c r="H150" s="39"/>
      <c r="I150" s="39"/>
      <c r="J150" s="39"/>
    </row>
    <row r="151" spans="1:10" x14ac:dyDescent="0.25">
      <c r="A151" s="4"/>
      <c r="B151" s="5"/>
      <c r="C151" s="5"/>
      <c r="D151" s="5"/>
      <c r="E151" s="5"/>
      <c r="F151" s="39"/>
      <c r="G151" s="39"/>
      <c r="H151" s="39"/>
      <c r="I151" s="39"/>
      <c r="J151" s="39"/>
    </row>
    <row r="152" spans="1:10" x14ac:dyDescent="0.25">
      <c r="A152" s="4"/>
      <c r="B152" s="5"/>
      <c r="C152" s="5"/>
      <c r="D152" s="5"/>
      <c r="E152" s="5"/>
      <c r="F152" s="39"/>
      <c r="G152" s="39"/>
      <c r="H152" s="39"/>
      <c r="I152" s="39"/>
      <c r="J152" s="39"/>
    </row>
    <row r="153" spans="1:10" x14ac:dyDescent="0.25">
      <c r="A153" s="4"/>
      <c r="B153" s="5"/>
      <c r="C153" s="5"/>
      <c r="D153" s="5"/>
      <c r="E153" s="5"/>
      <c r="F153" s="39"/>
      <c r="G153" s="39"/>
      <c r="H153" s="39"/>
      <c r="I153" s="39"/>
      <c r="J153" s="39"/>
    </row>
    <row r="154" spans="1:10" x14ac:dyDescent="0.25">
      <c r="A154" s="4"/>
      <c r="B154" s="5"/>
      <c r="C154" s="5"/>
      <c r="D154" s="5"/>
      <c r="E154" s="5"/>
      <c r="F154" s="39"/>
      <c r="G154" s="39"/>
      <c r="H154" s="39"/>
      <c r="I154" s="39"/>
      <c r="J154" s="39"/>
    </row>
    <row r="155" spans="1:10" x14ac:dyDescent="0.25">
      <c r="A155" s="4"/>
      <c r="B155" s="5"/>
      <c r="C155" s="5"/>
      <c r="D155" s="5"/>
      <c r="E155" s="5"/>
      <c r="F155" s="39"/>
      <c r="G155" s="39"/>
      <c r="H155" s="39"/>
      <c r="I155" s="39"/>
      <c r="J155" s="39"/>
    </row>
    <row r="156" spans="1:10" x14ac:dyDescent="0.25">
      <c r="A156" s="4"/>
      <c r="B156" s="5"/>
      <c r="C156" s="5"/>
      <c r="D156" s="5"/>
      <c r="E156" s="5"/>
      <c r="F156" s="39"/>
      <c r="G156" s="39"/>
      <c r="H156" s="39"/>
      <c r="I156" s="39"/>
      <c r="J156" s="39"/>
    </row>
    <row r="157" spans="1:10" x14ac:dyDescent="0.25">
      <c r="A157" s="4"/>
      <c r="B157" s="5"/>
      <c r="C157" s="5"/>
      <c r="D157" s="5"/>
      <c r="E157" s="5"/>
      <c r="F157" s="39"/>
      <c r="G157" s="39"/>
      <c r="H157" s="39"/>
      <c r="I157" s="39"/>
      <c r="J157" s="39"/>
    </row>
    <row r="158" spans="1:10" x14ac:dyDescent="0.25">
      <c r="A158" s="4"/>
      <c r="B158" s="5"/>
      <c r="C158" s="5"/>
      <c r="D158" s="5"/>
      <c r="E158" s="5"/>
      <c r="F158" s="39"/>
      <c r="G158" s="39"/>
      <c r="H158" s="39"/>
      <c r="I158" s="39"/>
      <c r="J158" s="39"/>
    </row>
    <row r="159" spans="1:10" x14ac:dyDescent="0.25">
      <c r="A159" s="4"/>
      <c r="B159" s="5"/>
      <c r="C159" s="5"/>
      <c r="D159" s="5"/>
      <c r="E159" s="5"/>
      <c r="F159" s="39"/>
      <c r="G159" s="39"/>
      <c r="H159" s="39"/>
      <c r="I159" s="39"/>
      <c r="J159" s="39"/>
    </row>
    <row r="160" spans="1:10" x14ac:dyDescent="0.25">
      <c r="A160" s="4"/>
      <c r="B160" s="5"/>
      <c r="C160" s="5"/>
      <c r="D160" s="5"/>
      <c r="E160" s="5"/>
      <c r="F160" s="39"/>
      <c r="G160" s="39"/>
      <c r="H160" s="39"/>
      <c r="I160" s="39"/>
      <c r="J160" s="39"/>
    </row>
    <row r="161" spans="1:10" x14ac:dyDescent="0.25">
      <c r="A161" s="4"/>
      <c r="B161" s="5"/>
      <c r="C161" s="5"/>
      <c r="D161" s="5"/>
      <c r="E161" s="5"/>
      <c r="F161" s="39"/>
      <c r="G161" s="39"/>
      <c r="H161" s="39"/>
      <c r="I161" s="39"/>
      <c r="J161" s="39"/>
    </row>
    <row r="162" spans="1:10" x14ac:dyDescent="0.25">
      <c r="A162" s="4"/>
      <c r="B162" s="5"/>
      <c r="C162" s="5"/>
      <c r="D162" s="5"/>
      <c r="E162" s="5"/>
      <c r="F162" s="39"/>
      <c r="G162" s="39"/>
      <c r="H162" s="39"/>
      <c r="I162" s="39"/>
      <c r="J162" s="39"/>
    </row>
    <row r="163" spans="1:10" x14ac:dyDescent="0.25">
      <c r="A163" s="4"/>
      <c r="B163" s="5"/>
      <c r="C163" s="5"/>
      <c r="D163" s="5"/>
      <c r="E163" s="5"/>
      <c r="F163" s="39"/>
      <c r="G163" s="39"/>
      <c r="H163" s="39"/>
      <c r="I163" s="39"/>
      <c r="J163" s="39"/>
    </row>
    <row r="164" spans="1:10" x14ac:dyDescent="0.25">
      <c r="A164" s="4"/>
      <c r="B164" s="5"/>
      <c r="C164" s="5"/>
      <c r="D164" s="5"/>
      <c r="E164" s="5"/>
      <c r="F164" s="39"/>
      <c r="G164" s="39"/>
      <c r="H164" s="39"/>
      <c r="I164" s="39"/>
      <c r="J164" s="39"/>
    </row>
    <row r="165" spans="1:10" x14ac:dyDescent="0.25">
      <c r="A165" s="4"/>
      <c r="B165" s="5"/>
      <c r="C165" s="5"/>
      <c r="D165" s="5"/>
      <c r="E165" s="5"/>
      <c r="F165" s="39"/>
      <c r="G165" s="39"/>
      <c r="H165" s="39"/>
      <c r="I165" s="39"/>
      <c r="J165" s="39"/>
    </row>
    <row r="166" spans="1:10" x14ac:dyDescent="0.25">
      <c r="A166" s="4"/>
      <c r="B166" s="5"/>
      <c r="C166" s="5"/>
      <c r="D166" s="5"/>
      <c r="E166" s="5"/>
      <c r="F166" s="39"/>
      <c r="G166" s="39"/>
      <c r="H166" s="39"/>
      <c r="I166" s="39"/>
      <c r="J166" s="39"/>
    </row>
    <row r="167" spans="1:10" x14ac:dyDescent="0.25">
      <c r="A167" s="4"/>
      <c r="B167" s="5"/>
      <c r="C167" s="5"/>
      <c r="D167" s="5"/>
      <c r="E167" s="5"/>
      <c r="F167" s="39"/>
      <c r="G167" s="39"/>
      <c r="H167" s="39"/>
      <c r="I167" s="39"/>
      <c r="J167" s="39"/>
    </row>
    <row r="168" spans="1:10" x14ac:dyDescent="0.25">
      <c r="A168" s="4"/>
      <c r="B168" s="5"/>
      <c r="C168" s="5"/>
      <c r="D168" s="5"/>
      <c r="E168" s="5"/>
      <c r="F168" s="39"/>
      <c r="G168" s="39"/>
      <c r="H168" s="39"/>
      <c r="I168" s="39"/>
      <c r="J168" s="39"/>
    </row>
    <row r="169" spans="1:10" x14ac:dyDescent="0.25">
      <c r="A169" s="4"/>
      <c r="B169" s="5"/>
      <c r="C169" s="5"/>
      <c r="D169" s="5"/>
      <c r="E169" s="5"/>
      <c r="F169" s="39"/>
      <c r="G169" s="39"/>
      <c r="H169" s="39"/>
      <c r="I169" s="39"/>
      <c r="J169" s="39"/>
    </row>
    <row r="170" spans="1:10" x14ac:dyDescent="0.25">
      <c r="A170" s="4"/>
      <c r="B170" s="5"/>
      <c r="C170" s="5"/>
      <c r="D170" s="5"/>
      <c r="E170" s="5"/>
      <c r="F170" s="39"/>
      <c r="G170" s="39"/>
      <c r="H170" s="39"/>
      <c r="I170" s="39"/>
      <c r="J170" s="39"/>
    </row>
    <row r="171" spans="1:10" x14ac:dyDescent="0.25">
      <c r="A171" s="4"/>
      <c r="B171" s="5"/>
      <c r="C171" s="5"/>
      <c r="D171" s="5"/>
      <c r="E171" s="5"/>
      <c r="F171" s="39"/>
      <c r="G171" s="39"/>
      <c r="H171" s="39"/>
      <c r="I171" s="39"/>
      <c r="J171" s="39"/>
    </row>
    <row r="172" spans="1:10" x14ac:dyDescent="0.25">
      <c r="A172" s="4"/>
      <c r="B172" s="5"/>
      <c r="C172" s="5"/>
      <c r="D172" s="5"/>
      <c r="E172" s="5"/>
      <c r="F172" s="39"/>
      <c r="G172" s="39"/>
      <c r="H172" s="39"/>
      <c r="I172" s="39"/>
      <c r="J172" s="39"/>
    </row>
    <row r="173" spans="1:10" x14ac:dyDescent="0.25">
      <c r="A173" s="4"/>
      <c r="B173" s="5"/>
      <c r="C173" s="5"/>
      <c r="D173" s="5"/>
      <c r="E173" s="5"/>
      <c r="F173" s="39"/>
      <c r="G173" s="39"/>
      <c r="H173" s="39"/>
      <c r="I173" s="39"/>
      <c r="J173" s="39"/>
    </row>
    <row r="174" spans="1:10" x14ac:dyDescent="0.25">
      <c r="A174" s="4"/>
      <c r="B174" s="5"/>
      <c r="C174" s="5"/>
      <c r="D174" s="5"/>
      <c r="E174" s="5"/>
      <c r="F174" s="39"/>
      <c r="G174" s="39"/>
      <c r="H174" s="39"/>
      <c r="I174" s="39"/>
      <c r="J174" s="39"/>
    </row>
    <row r="175" spans="1:10" x14ac:dyDescent="0.25">
      <c r="A175" s="4"/>
      <c r="B175" s="5"/>
      <c r="C175" s="5"/>
      <c r="D175" s="5"/>
      <c r="E175" s="5"/>
      <c r="F175" s="39"/>
      <c r="G175" s="39"/>
      <c r="H175" s="39"/>
      <c r="I175" s="39"/>
      <c r="J175" s="39"/>
    </row>
    <row r="176" spans="1:10" x14ac:dyDescent="0.25">
      <c r="A176" s="4"/>
      <c r="B176" s="5"/>
      <c r="C176" s="5"/>
      <c r="D176" s="5"/>
      <c r="E176" s="5"/>
      <c r="F176" s="39"/>
      <c r="G176" s="39"/>
      <c r="H176" s="39"/>
      <c r="I176" s="39"/>
      <c r="J176" s="39"/>
    </row>
    <row r="177" spans="1:10" x14ac:dyDescent="0.25">
      <c r="A177" s="4"/>
      <c r="B177" s="5"/>
      <c r="C177" s="5"/>
      <c r="D177" s="5"/>
      <c r="E177" s="5"/>
      <c r="F177" s="39"/>
      <c r="G177" s="39"/>
      <c r="H177" s="39"/>
      <c r="I177" s="39"/>
      <c r="J177" s="39"/>
    </row>
    <row r="178" spans="1:10" x14ac:dyDescent="0.25">
      <c r="A178" s="4"/>
      <c r="B178" s="5"/>
      <c r="C178" s="5"/>
      <c r="D178" s="5"/>
      <c r="E178" s="5"/>
      <c r="F178" s="39"/>
      <c r="G178" s="39"/>
      <c r="H178" s="39"/>
      <c r="I178" s="39"/>
      <c r="J178" s="39"/>
    </row>
    <row r="179" spans="1:10" x14ac:dyDescent="0.25">
      <c r="A179" s="4"/>
      <c r="B179" s="5"/>
      <c r="C179" s="5"/>
      <c r="D179" s="5"/>
      <c r="E179" s="5"/>
      <c r="F179" s="39"/>
      <c r="G179" s="39"/>
      <c r="H179" s="39"/>
      <c r="I179" s="39"/>
      <c r="J179" s="39"/>
    </row>
    <row r="180" spans="1:10" x14ac:dyDescent="0.25">
      <c r="A180" s="4"/>
      <c r="B180" s="5"/>
      <c r="C180" s="5"/>
      <c r="D180" s="5"/>
      <c r="E180" s="5"/>
      <c r="F180" s="39"/>
      <c r="G180" s="39"/>
      <c r="H180" s="39"/>
      <c r="I180" s="39"/>
      <c r="J180" s="39"/>
    </row>
    <row r="181" spans="1:10" x14ac:dyDescent="0.25">
      <c r="A181" s="4"/>
      <c r="B181" s="5"/>
      <c r="C181" s="5"/>
      <c r="D181" s="5"/>
      <c r="E181" s="5"/>
      <c r="F181" s="39"/>
      <c r="G181" s="39"/>
      <c r="H181" s="39"/>
      <c r="I181" s="39"/>
      <c r="J181" s="39"/>
    </row>
    <row r="182" spans="1:10" x14ac:dyDescent="0.25">
      <c r="A182" s="4"/>
      <c r="B182" s="5"/>
      <c r="C182" s="5"/>
      <c r="D182" s="5"/>
      <c r="E182" s="5"/>
      <c r="F182" s="39"/>
      <c r="G182" s="39"/>
      <c r="H182" s="39"/>
      <c r="I182" s="39"/>
      <c r="J182" s="39"/>
    </row>
    <row r="183" spans="1:10" x14ac:dyDescent="0.25">
      <c r="A183" s="4"/>
      <c r="B183" s="5"/>
      <c r="C183" s="5"/>
      <c r="D183" s="5"/>
      <c r="E183" s="5"/>
      <c r="F183" s="39"/>
      <c r="G183" s="39"/>
      <c r="H183" s="39"/>
      <c r="I183" s="39"/>
      <c r="J183" s="39"/>
    </row>
    <row r="184" spans="1:10" x14ac:dyDescent="0.25">
      <c r="A184" s="4"/>
      <c r="B184" s="5"/>
      <c r="C184" s="5"/>
      <c r="D184" s="5"/>
      <c r="E184" s="5"/>
      <c r="F184" s="39"/>
      <c r="G184" s="39"/>
      <c r="H184" s="39"/>
      <c r="I184" s="39"/>
      <c r="J184" s="39"/>
    </row>
    <row r="185" spans="1:10" x14ac:dyDescent="0.25">
      <c r="A185" s="4"/>
      <c r="B185" s="5"/>
      <c r="C185" s="5"/>
      <c r="D185" s="5"/>
      <c r="E185" s="5"/>
      <c r="F185" s="39"/>
      <c r="G185" s="39"/>
      <c r="H185" s="39"/>
      <c r="I185" s="39"/>
      <c r="J185" s="39"/>
    </row>
    <row r="186" spans="1:10" x14ac:dyDescent="0.25">
      <c r="A186" s="4"/>
      <c r="B186" s="5"/>
      <c r="C186" s="5"/>
      <c r="D186" s="5"/>
      <c r="E186" s="5"/>
      <c r="F186" s="39"/>
      <c r="G186" s="39"/>
      <c r="H186" s="39"/>
      <c r="I186" s="39"/>
      <c r="J186" s="39"/>
    </row>
    <row r="187" spans="1:10" x14ac:dyDescent="0.25">
      <c r="A187" s="4"/>
      <c r="B187" s="5"/>
      <c r="C187" s="5"/>
      <c r="D187" s="5"/>
      <c r="E187" s="5"/>
      <c r="F187" s="39"/>
      <c r="G187" s="39"/>
      <c r="H187" s="39"/>
      <c r="I187" s="39"/>
      <c r="J187" s="39"/>
    </row>
    <row r="188" spans="1:10" x14ac:dyDescent="0.25">
      <c r="A188" s="4"/>
      <c r="B188" s="5"/>
      <c r="C188" s="5"/>
      <c r="D188" s="5"/>
      <c r="E188" s="5"/>
      <c r="F188" s="39"/>
      <c r="G188" s="39"/>
      <c r="H188" s="39"/>
      <c r="I188" s="39"/>
      <c r="J188" s="39"/>
    </row>
    <row r="189" spans="1:10" x14ac:dyDescent="0.25">
      <c r="A189" s="4"/>
      <c r="B189" s="5"/>
      <c r="C189" s="5"/>
      <c r="D189" s="5"/>
      <c r="E189" s="5"/>
      <c r="F189" s="39"/>
      <c r="G189" s="39"/>
      <c r="H189" s="39"/>
      <c r="I189" s="39"/>
      <c r="J189" s="39"/>
    </row>
    <row r="190" spans="1:10" x14ac:dyDescent="0.25">
      <c r="A190" s="4"/>
      <c r="B190" s="5"/>
      <c r="C190" s="5"/>
      <c r="D190" s="5"/>
      <c r="E190" s="5"/>
      <c r="F190" s="39"/>
      <c r="G190" s="39"/>
      <c r="H190" s="39"/>
      <c r="I190" s="39"/>
      <c r="J190" s="39"/>
    </row>
    <row r="191" spans="1:10" x14ac:dyDescent="0.25">
      <c r="A191" s="4"/>
      <c r="B191" s="5"/>
      <c r="C191" s="5"/>
      <c r="D191" s="5"/>
      <c r="E191" s="5"/>
      <c r="F191" s="39"/>
      <c r="G191" s="39"/>
      <c r="H191" s="39"/>
      <c r="I191" s="39"/>
      <c r="J191" s="39"/>
    </row>
    <row r="192" spans="1:10" x14ac:dyDescent="0.25">
      <c r="A192" s="4"/>
      <c r="B192" s="5"/>
      <c r="C192" s="5"/>
      <c r="D192" s="5"/>
      <c r="E192" s="5"/>
      <c r="F192" s="39"/>
      <c r="G192" s="39"/>
      <c r="H192" s="39"/>
      <c r="I192" s="39"/>
      <c r="J192" s="39"/>
    </row>
    <row r="193" spans="1:10" x14ac:dyDescent="0.25">
      <c r="A193" s="4"/>
      <c r="B193" s="5"/>
      <c r="C193" s="5"/>
      <c r="D193" s="5"/>
      <c r="E193" s="5"/>
      <c r="F193" s="39"/>
      <c r="G193" s="39"/>
      <c r="H193" s="39"/>
      <c r="I193" s="39"/>
      <c r="J193" s="39"/>
    </row>
    <row r="194" spans="1:10" x14ac:dyDescent="0.25">
      <c r="A194" s="4"/>
      <c r="B194" s="5"/>
      <c r="C194" s="5"/>
      <c r="D194" s="5"/>
      <c r="E194" s="5"/>
      <c r="F194" s="39"/>
      <c r="G194" s="39"/>
      <c r="H194" s="39"/>
      <c r="I194" s="39"/>
      <c r="J194" s="39"/>
    </row>
    <row r="195" spans="1:10" x14ac:dyDescent="0.25">
      <c r="A195" s="4"/>
      <c r="B195" s="5"/>
      <c r="C195" s="5"/>
      <c r="D195" s="5"/>
      <c r="E195" s="5"/>
      <c r="F195" s="39"/>
      <c r="G195" s="39"/>
      <c r="H195" s="39"/>
      <c r="I195" s="39"/>
      <c r="J195" s="39"/>
    </row>
    <row r="196" spans="1:10" x14ac:dyDescent="0.25">
      <c r="A196" s="4"/>
      <c r="B196" s="5"/>
      <c r="C196" s="5"/>
      <c r="D196" s="5"/>
      <c r="E196" s="5"/>
      <c r="F196" s="39"/>
      <c r="G196" s="39"/>
      <c r="H196" s="39"/>
      <c r="I196" s="39"/>
      <c r="J196" s="39"/>
    </row>
    <row r="197" spans="1:10" x14ac:dyDescent="0.25">
      <c r="A197" s="4"/>
      <c r="B197" s="5"/>
      <c r="C197" s="5"/>
      <c r="D197" s="5"/>
      <c r="E197" s="5"/>
      <c r="F197" s="39"/>
      <c r="G197" s="39"/>
      <c r="H197" s="39"/>
      <c r="I197" s="39"/>
      <c r="J197" s="39"/>
    </row>
    <row r="198" spans="1:10" x14ac:dyDescent="0.25">
      <c r="A198" s="4"/>
      <c r="B198" s="5"/>
      <c r="C198" s="5"/>
      <c r="D198" s="5"/>
      <c r="E198" s="5"/>
      <c r="F198" s="39"/>
      <c r="G198" s="39"/>
      <c r="H198" s="39"/>
      <c r="I198" s="39"/>
      <c r="J198" s="39"/>
    </row>
    <row r="199" spans="1:10" x14ac:dyDescent="0.25">
      <c r="A199" s="4"/>
      <c r="B199" s="5"/>
      <c r="C199" s="5"/>
      <c r="D199" s="5"/>
      <c r="E199" s="5"/>
      <c r="F199" s="39"/>
      <c r="G199" s="39"/>
      <c r="H199" s="39"/>
      <c r="I199" s="39"/>
      <c r="J199" s="39"/>
    </row>
    <row r="200" spans="1:10" x14ac:dyDescent="0.25">
      <c r="A200" s="4"/>
      <c r="B200" s="5"/>
      <c r="C200" s="5"/>
      <c r="D200" s="5"/>
      <c r="E200" s="5"/>
      <c r="F200" s="39"/>
      <c r="G200" s="39"/>
      <c r="H200" s="39"/>
      <c r="I200" s="39"/>
      <c r="J200" s="39"/>
    </row>
    <row r="201" spans="1:10" x14ac:dyDescent="0.25">
      <c r="A201" s="4"/>
      <c r="B201" s="5"/>
      <c r="C201" s="5"/>
      <c r="D201" s="5"/>
      <c r="E201" s="5"/>
      <c r="F201" s="39"/>
      <c r="G201" s="39"/>
      <c r="H201" s="39"/>
      <c r="I201" s="39"/>
      <c r="J201" s="39"/>
    </row>
    <row r="202" spans="1:10" x14ac:dyDescent="0.25">
      <c r="A202" s="4"/>
      <c r="B202" s="5"/>
      <c r="C202" s="5"/>
      <c r="D202" s="5"/>
      <c r="E202" s="5"/>
      <c r="F202" s="39"/>
      <c r="G202" s="39"/>
      <c r="H202" s="39"/>
      <c r="I202" s="39"/>
      <c r="J202" s="39"/>
    </row>
    <row r="203" spans="1:10" x14ac:dyDescent="0.25">
      <c r="A203" s="4"/>
      <c r="B203" s="5"/>
      <c r="C203" s="5"/>
      <c r="D203" s="5"/>
      <c r="E203" s="5"/>
      <c r="F203" s="39"/>
      <c r="G203" s="39"/>
      <c r="H203" s="39"/>
      <c r="I203" s="39"/>
      <c r="J203" s="39"/>
    </row>
    <row r="204" spans="1:10" x14ac:dyDescent="0.25">
      <c r="A204" s="4"/>
      <c r="B204" s="5"/>
      <c r="C204" s="5"/>
      <c r="D204" s="5"/>
      <c r="E204" s="5"/>
      <c r="F204" s="39"/>
      <c r="G204" s="39"/>
      <c r="H204" s="39"/>
      <c r="I204" s="39"/>
      <c r="J204" s="39"/>
    </row>
    <row r="205" spans="1:10" x14ac:dyDescent="0.25">
      <c r="A205" s="4"/>
      <c r="B205" s="5"/>
      <c r="C205" s="5"/>
      <c r="D205" s="5"/>
      <c r="E205" s="5"/>
      <c r="F205" s="39"/>
      <c r="G205" s="39"/>
      <c r="H205" s="39"/>
      <c r="I205" s="39"/>
      <c r="J205" s="39"/>
    </row>
    <row r="206" spans="1:10" x14ac:dyDescent="0.25">
      <c r="A206" s="4"/>
      <c r="B206" s="5"/>
      <c r="C206" s="5"/>
      <c r="D206" s="5"/>
      <c r="E206" s="5"/>
      <c r="F206" s="39"/>
      <c r="G206" s="39"/>
      <c r="H206" s="39"/>
      <c r="I206" s="39"/>
      <c r="J206" s="39"/>
    </row>
    <row r="207" spans="1:10" x14ac:dyDescent="0.25">
      <c r="A207" s="4"/>
      <c r="B207" s="5"/>
      <c r="C207" s="5"/>
      <c r="D207" s="5"/>
      <c r="E207" s="5"/>
      <c r="F207" s="39"/>
      <c r="G207" s="39"/>
      <c r="H207" s="39"/>
      <c r="I207" s="39"/>
      <c r="J207" s="39"/>
    </row>
    <row r="208" spans="1:10" x14ac:dyDescent="0.25">
      <c r="A208" s="4"/>
      <c r="B208" s="5"/>
      <c r="C208" s="5"/>
      <c r="D208" s="5"/>
      <c r="E208" s="5"/>
      <c r="F208" s="39"/>
      <c r="G208" s="39"/>
      <c r="H208" s="39"/>
      <c r="I208" s="39"/>
      <c r="J208" s="39"/>
    </row>
    <row r="209" spans="1:11" x14ac:dyDescent="0.25">
      <c r="B209" s="10"/>
      <c r="C209" s="10"/>
      <c r="D209" s="10"/>
      <c r="E209" s="10"/>
    </row>
    <row r="210" spans="1:11" x14ac:dyDescent="0.25">
      <c r="B210" s="10"/>
      <c r="C210" s="10"/>
      <c r="D210" s="10"/>
      <c r="E210" s="10"/>
    </row>
    <row r="211" spans="1:11" x14ac:dyDescent="0.25">
      <c r="B211" s="10"/>
      <c r="C211" s="10"/>
      <c r="D211" s="10"/>
      <c r="E211" s="10"/>
    </row>
    <row r="212" spans="1:11" x14ac:dyDescent="0.25">
      <c r="B212" s="10"/>
      <c r="C212" s="10"/>
      <c r="D212" s="10"/>
      <c r="E212" s="10"/>
    </row>
    <row r="213" spans="1:11" x14ac:dyDescent="0.25">
      <c r="B213" s="10"/>
      <c r="C213" s="10"/>
      <c r="D213" s="10"/>
      <c r="E213" s="10"/>
    </row>
    <row r="214" spans="1:11" x14ac:dyDescent="0.25">
      <c r="B214" s="10"/>
      <c r="C214" s="10"/>
      <c r="D214" s="10"/>
      <c r="E214" s="10"/>
    </row>
    <row r="215" spans="1:11" x14ac:dyDescent="0.25">
      <c r="B215" s="10"/>
      <c r="C215" s="10"/>
      <c r="D215" s="10"/>
      <c r="E215" s="10"/>
    </row>
    <row r="216" spans="1:11" s="40" customFormat="1" x14ac:dyDescent="0.25">
      <c r="A216" s="1"/>
      <c r="B216" s="10"/>
      <c r="C216" s="10"/>
      <c r="D216" s="10"/>
      <c r="E216" s="10"/>
      <c r="K216"/>
    </row>
    <row r="217" spans="1:11" s="40" customFormat="1" x14ac:dyDescent="0.25">
      <c r="A217" s="1"/>
      <c r="B217" s="10"/>
      <c r="C217" s="10"/>
      <c r="D217" s="10"/>
      <c r="E217" s="10"/>
      <c r="K217"/>
    </row>
    <row r="218" spans="1:11" s="40" customFormat="1" x14ac:dyDescent="0.25">
      <c r="A218" s="1"/>
      <c r="B218" s="10"/>
      <c r="C218" s="10"/>
      <c r="D218" s="10"/>
      <c r="E218" s="10"/>
      <c r="K218"/>
    </row>
    <row r="219" spans="1:11" s="40" customFormat="1" x14ac:dyDescent="0.25">
      <c r="A219" s="1"/>
      <c r="B219" s="10"/>
      <c r="C219" s="10"/>
      <c r="D219" s="10"/>
      <c r="E219" s="10"/>
      <c r="K219"/>
    </row>
    <row r="220" spans="1:11" s="40" customFormat="1" x14ac:dyDescent="0.25">
      <c r="A220" s="1"/>
      <c r="B220" s="10"/>
      <c r="C220" s="10"/>
      <c r="D220" s="10"/>
      <c r="E220" s="10"/>
      <c r="K220"/>
    </row>
    <row r="221" spans="1:11" s="40" customFormat="1" x14ac:dyDescent="0.25">
      <c r="A221" s="1"/>
      <c r="B221" s="10"/>
      <c r="C221" s="10"/>
      <c r="D221" s="10"/>
      <c r="E221" s="10"/>
      <c r="K221"/>
    </row>
    <row r="222" spans="1:11" s="40" customFormat="1" x14ac:dyDescent="0.25">
      <c r="A222" s="1"/>
      <c r="B222" s="10"/>
      <c r="C222" s="10"/>
      <c r="D222" s="10"/>
      <c r="E222" s="10"/>
      <c r="K222"/>
    </row>
    <row r="223" spans="1:11" s="40" customFormat="1" x14ac:dyDescent="0.25">
      <c r="A223" s="1"/>
      <c r="B223" s="10"/>
      <c r="C223" s="10"/>
      <c r="D223" s="10"/>
      <c r="E223" s="10"/>
      <c r="K223"/>
    </row>
    <row r="224" spans="1:11" s="40" customFormat="1" x14ac:dyDescent="0.25">
      <c r="A224" s="1"/>
      <c r="B224" s="10"/>
      <c r="C224" s="10"/>
      <c r="D224" s="10"/>
      <c r="E224" s="10"/>
      <c r="K224"/>
    </row>
    <row r="225" spans="1:11" s="40" customFormat="1" x14ac:dyDescent="0.25">
      <c r="A225" s="1"/>
      <c r="B225" s="10"/>
      <c r="C225" s="10"/>
      <c r="D225" s="10"/>
      <c r="E225" s="10"/>
      <c r="K225"/>
    </row>
    <row r="226" spans="1:11" s="40" customFormat="1" x14ac:dyDescent="0.25">
      <c r="A226" s="1"/>
      <c r="B226" s="10"/>
      <c r="C226" s="10"/>
      <c r="D226" s="10"/>
      <c r="E226" s="10"/>
      <c r="K226"/>
    </row>
    <row r="227" spans="1:11" s="40" customFormat="1" x14ac:dyDescent="0.25">
      <c r="A227" s="1"/>
      <c r="B227" s="10"/>
      <c r="C227" s="10"/>
      <c r="D227" s="10"/>
      <c r="E227" s="10"/>
      <c r="K227"/>
    </row>
    <row r="228" spans="1:11" s="40" customFormat="1" x14ac:dyDescent="0.25">
      <c r="A228" s="1"/>
      <c r="B228" s="10"/>
      <c r="C228" s="10"/>
      <c r="D228" s="10"/>
      <c r="E228" s="10"/>
      <c r="K228"/>
    </row>
    <row r="229" spans="1:11" s="40" customFormat="1" x14ac:dyDescent="0.25">
      <c r="A229" s="1"/>
      <c r="B229" s="10"/>
      <c r="C229" s="10"/>
      <c r="D229" s="10"/>
      <c r="E229" s="10"/>
      <c r="K229"/>
    </row>
    <row r="230" spans="1:11" s="40" customFormat="1" x14ac:dyDescent="0.25">
      <c r="A230" s="1"/>
      <c r="B230" s="10"/>
      <c r="C230" s="10"/>
      <c r="D230" s="10"/>
      <c r="E230" s="10"/>
      <c r="K230"/>
    </row>
    <row r="231" spans="1:11" s="40" customFormat="1" x14ac:dyDescent="0.25">
      <c r="A231" s="1"/>
      <c r="B231" s="10"/>
      <c r="C231" s="10"/>
      <c r="D231" s="10"/>
      <c r="E231" s="10"/>
      <c r="K231"/>
    </row>
    <row r="232" spans="1:11" s="40" customFormat="1" x14ac:dyDescent="0.25">
      <c r="A232" s="1"/>
      <c r="B232" s="10"/>
      <c r="C232" s="10"/>
      <c r="D232" s="10"/>
      <c r="E232" s="10"/>
      <c r="K232"/>
    </row>
    <row r="233" spans="1:11" s="40" customFormat="1" x14ac:dyDescent="0.25">
      <c r="A233" s="1"/>
      <c r="B233" s="10"/>
      <c r="C233" s="10"/>
      <c r="D233" s="10"/>
      <c r="E233" s="10"/>
      <c r="K233"/>
    </row>
    <row r="234" spans="1:11" s="40" customFormat="1" x14ac:dyDescent="0.25">
      <c r="A234" s="1"/>
      <c r="B234" s="10"/>
      <c r="C234" s="10"/>
      <c r="D234" s="10"/>
      <c r="E234" s="10"/>
      <c r="K234"/>
    </row>
    <row r="235" spans="1:11" s="40" customFormat="1" x14ac:dyDescent="0.25">
      <c r="A235" s="1"/>
      <c r="B235" s="10"/>
      <c r="C235" s="10"/>
      <c r="D235" s="10"/>
      <c r="E235" s="10"/>
      <c r="K235"/>
    </row>
    <row r="236" spans="1:11" s="40" customFormat="1" x14ac:dyDescent="0.25">
      <c r="A236" s="1"/>
      <c r="B236" s="10"/>
      <c r="C236" s="10"/>
      <c r="D236" s="10"/>
      <c r="E236" s="10"/>
      <c r="K236"/>
    </row>
    <row r="237" spans="1:11" s="40" customFormat="1" x14ac:dyDescent="0.25">
      <c r="A237" s="1"/>
      <c r="B237" s="10"/>
      <c r="C237" s="10"/>
      <c r="D237" s="10"/>
      <c r="E237" s="10"/>
      <c r="K237"/>
    </row>
    <row r="238" spans="1:11" s="40" customFormat="1" x14ac:dyDescent="0.25">
      <c r="A238" s="1"/>
      <c r="B238" s="10"/>
      <c r="C238" s="10"/>
      <c r="D238" s="10"/>
      <c r="E238" s="10"/>
      <c r="K238"/>
    </row>
    <row r="239" spans="1:11" s="40" customFormat="1" x14ac:dyDescent="0.25">
      <c r="A239" s="1"/>
      <c r="B239" s="10"/>
      <c r="C239" s="10"/>
      <c r="D239" s="10"/>
      <c r="E239" s="10"/>
      <c r="K239"/>
    </row>
    <row r="240" spans="1:11" s="40" customFormat="1" x14ac:dyDescent="0.25">
      <c r="A240" s="1"/>
      <c r="B240" s="10"/>
      <c r="C240" s="10"/>
      <c r="D240" s="10"/>
      <c r="E240" s="10"/>
      <c r="K240"/>
    </row>
    <row r="241" spans="1:11" s="40" customFormat="1" x14ac:dyDescent="0.25">
      <c r="A241" s="1"/>
      <c r="B241" s="10"/>
      <c r="C241" s="10"/>
      <c r="D241" s="10"/>
      <c r="E241" s="10"/>
      <c r="K241"/>
    </row>
    <row r="242" spans="1:11" s="40" customFormat="1" x14ac:dyDescent="0.25">
      <c r="A242" s="1"/>
      <c r="B242" s="10"/>
      <c r="C242" s="10"/>
      <c r="D242" s="10"/>
      <c r="E242" s="10"/>
      <c r="K242"/>
    </row>
    <row r="243" spans="1:11" s="40" customFormat="1" x14ac:dyDescent="0.25">
      <c r="A243" s="1"/>
      <c r="B243" s="10"/>
      <c r="C243" s="10"/>
      <c r="D243" s="10"/>
      <c r="E243" s="10"/>
      <c r="K243"/>
    </row>
    <row r="244" spans="1:11" s="40" customFormat="1" x14ac:dyDescent="0.25">
      <c r="A244" s="1"/>
      <c r="B244" s="10"/>
      <c r="C244" s="10"/>
      <c r="D244" s="10"/>
      <c r="E244" s="10"/>
      <c r="K244"/>
    </row>
    <row r="245" spans="1:11" s="40" customFormat="1" x14ac:dyDescent="0.25">
      <c r="A245" s="1"/>
      <c r="B245" s="10"/>
      <c r="C245" s="10"/>
      <c r="D245" s="10"/>
      <c r="E245" s="10"/>
      <c r="K245"/>
    </row>
  </sheetData>
  <pageMargins left="0.511811024" right="0.511811024" top="0.78740157499999996" bottom="0.78740157499999996" header="0.31496062000000002" footer="0.31496062000000002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0"/>
  <sheetViews>
    <sheetView zoomScale="63" zoomScaleNormal="63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O53" sqref="O53"/>
    </sheetView>
  </sheetViews>
  <sheetFormatPr defaultRowHeight="15" x14ac:dyDescent="0.25"/>
  <cols>
    <col min="1" max="1" width="27.7109375" style="1" customWidth="1"/>
    <col min="2" max="3" width="22.28515625" customWidth="1"/>
    <col min="4" max="4" width="21.28515625" customWidth="1"/>
    <col min="5" max="5" width="21.140625" customWidth="1"/>
    <col min="6" max="24" width="17.85546875" customWidth="1"/>
    <col min="25" max="26" width="15.5703125" style="40" customWidth="1"/>
    <col min="27" max="27" width="24.7109375" style="40" customWidth="1"/>
    <col min="28" max="28" width="11.5703125" style="40" customWidth="1"/>
    <col min="29" max="29" width="34.140625" style="40" customWidth="1"/>
  </cols>
  <sheetData>
    <row r="1" spans="1:29" s="3" customFormat="1" ht="213" customHeight="1" x14ac:dyDescent="0.25">
      <c r="A1" s="6" t="s">
        <v>12</v>
      </c>
      <c r="B1" s="2" t="s">
        <v>343</v>
      </c>
      <c r="C1" s="2" t="s">
        <v>344</v>
      </c>
      <c r="D1" s="2" t="s">
        <v>345</v>
      </c>
      <c r="E1" s="2" t="s">
        <v>346</v>
      </c>
      <c r="F1" s="2" t="s">
        <v>72</v>
      </c>
      <c r="G1" s="2" t="s">
        <v>73</v>
      </c>
      <c r="H1" s="2" t="s">
        <v>74</v>
      </c>
      <c r="I1" s="2" t="s">
        <v>75</v>
      </c>
      <c r="J1" s="2">
        <v>2017</v>
      </c>
      <c r="K1" s="2">
        <v>2018</v>
      </c>
      <c r="L1" s="2">
        <v>2019</v>
      </c>
      <c r="M1" s="2">
        <v>2020</v>
      </c>
      <c r="N1" s="2">
        <v>2017</v>
      </c>
      <c r="O1" s="2">
        <v>2018</v>
      </c>
      <c r="P1" s="2">
        <v>2019</v>
      </c>
      <c r="Q1" s="2">
        <v>2020</v>
      </c>
      <c r="R1" s="2"/>
      <c r="S1" s="2"/>
      <c r="T1" s="2"/>
      <c r="U1" s="2"/>
      <c r="V1" s="2" t="s">
        <v>368</v>
      </c>
      <c r="W1" s="2" t="s">
        <v>388</v>
      </c>
      <c r="X1" s="2" t="s">
        <v>389</v>
      </c>
      <c r="Y1" s="37" t="s">
        <v>15</v>
      </c>
      <c r="Z1" s="37" t="s">
        <v>16</v>
      </c>
      <c r="AA1" s="38" t="s">
        <v>359</v>
      </c>
      <c r="AB1" s="37" t="s">
        <v>3</v>
      </c>
      <c r="AC1" s="37" t="s">
        <v>4</v>
      </c>
    </row>
    <row r="2" spans="1:29" s="15" customFormat="1" ht="45" x14ac:dyDescent="0.25">
      <c r="A2" s="11" t="s">
        <v>41</v>
      </c>
      <c r="B2" s="14">
        <v>1094376.68</v>
      </c>
      <c r="C2" s="14">
        <f>674635.04+107168.51+105192.17</f>
        <v>886995.72000000009</v>
      </c>
      <c r="D2" s="14">
        <v>1145744.24</v>
      </c>
      <c r="E2" s="14">
        <v>1123478.67</v>
      </c>
      <c r="F2" s="14">
        <v>12742.71</v>
      </c>
      <c r="G2" s="14">
        <v>20505</v>
      </c>
      <c r="H2" s="14">
        <v>11973.21</v>
      </c>
      <c r="I2" s="14">
        <v>13990.69</v>
      </c>
      <c r="J2" s="14"/>
      <c r="K2" s="60">
        <f t="shared" ref="K2:K33" si="0">(C2/B2)-1</f>
        <v>-0.18949687414757399</v>
      </c>
      <c r="L2" s="60">
        <f t="shared" ref="L2:L33" si="1">(D2/C2)-1</f>
        <v>0.291713380533561</v>
      </c>
      <c r="M2" s="60">
        <f t="shared" ref="M2:O4" si="2">(E2/D2)-1</f>
        <v>-1.9433281200698094E-2</v>
      </c>
      <c r="N2" s="60"/>
      <c r="O2" s="60">
        <f t="shared" si="2"/>
        <v>0.6091553523544051</v>
      </c>
      <c r="P2" s="60">
        <f t="shared" ref="P2:P33" si="3">(H2/G2)-1</f>
        <v>-0.4160833942940747</v>
      </c>
      <c r="Q2" s="60">
        <f t="shared" ref="Q2:Q33" si="4">(I2/H2)-1</f>
        <v>0.16849950848602857</v>
      </c>
      <c r="R2" s="60">
        <f t="shared" ref="R2:R33" si="5">F2/B2</f>
        <v>1.1643806225841727E-2</v>
      </c>
      <c r="S2" s="60">
        <f t="shared" ref="S2:S33" si="6">G2/C2</f>
        <v>2.3117360701582639E-2</v>
      </c>
      <c r="T2" s="60">
        <f t="shared" ref="T2:T33" si="7">H2/D2</f>
        <v>1.0450159452689022E-2</v>
      </c>
      <c r="U2" s="60">
        <f t="shared" ref="U2:U33" si="8">I2/E2</f>
        <v>1.2453009009952989E-2</v>
      </c>
      <c r="V2" s="60">
        <f t="shared" ref="V2:V33" si="9">X2/W2</f>
        <v>1.3930192286407055E-2</v>
      </c>
      <c r="W2" s="85">
        <f t="shared" ref="W2:W33" si="10">SUM(B2:E2)</f>
        <v>4250595.3099999996</v>
      </c>
      <c r="X2" s="85">
        <f t="shared" ref="X2:X33" si="11">SUM(F2:I2)</f>
        <v>59211.61</v>
      </c>
      <c r="Y2" s="39">
        <v>1999</v>
      </c>
      <c r="Z2" s="39">
        <f t="shared" ref="Z2:Z27" si="12">2021-Y2</f>
        <v>22</v>
      </c>
      <c r="AA2" s="39">
        <v>3</v>
      </c>
      <c r="AB2" s="39">
        <v>1</v>
      </c>
      <c r="AC2" s="39" t="s">
        <v>42</v>
      </c>
    </row>
    <row r="3" spans="1:29" s="15" customFormat="1" x14ac:dyDescent="0.25">
      <c r="A3" s="11" t="s">
        <v>55</v>
      </c>
      <c r="B3" s="14">
        <f>2482666</f>
        <v>2482666</v>
      </c>
      <c r="C3" s="14">
        <v>3428377</v>
      </c>
      <c r="D3" s="14">
        <f>3284348+13617</f>
        <v>3297965</v>
      </c>
      <c r="E3" s="14">
        <v>2210088</v>
      </c>
      <c r="F3" s="14">
        <v>251688</v>
      </c>
      <c r="G3" s="14">
        <v>425674</v>
      </c>
      <c r="H3" s="14">
        <v>310782</v>
      </c>
      <c r="I3" s="14">
        <v>121827</v>
      </c>
      <c r="J3" s="14"/>
      <c r="K3" s="60">
        <f t="shared" si="0"/>
        <v>0.38092558564059775</v>
      </c>
      <c r="L3" s="60">
        <f t="shared" si="1"/>
        <v>-3.8038990461084055E-2</v>
      </c>
      <c r="M3" s="60">
        <f t="shared" si="2"/>
        <v>-0.32986311255577305</v>
      </c>
      <c r="N3" s="60"/>
      <c r="O3" s="60">
        <f t="shared" si="2"/>
        <v>0.69127650106481031</v>
      </c>
      <c r="P3" s="60">
        <f t="shared" si="3"/>
        <v>-0.26990607836043545</v>
      </c>
      <c r="Q3" s="60">
        <f t="shared" si="4"/>
        <v>-0.60799853273355597</v>
      </c>
      <c r="R3" s="60">
        <f t="shared" si="5"/>
        <v>0.10137811530024578</v>
      </c>
      <c r="S3" s="60">
        <f t="shared" si="6"/>
        <v>0.12416195768435034</v>
      </c>
      <c r="T3" s="60">
        <f t="shared" si="7"/>
        <v>9.4234474895882769E-2</v>
      </c>
      <c r="U3" s="60">
        <f t="shared" si="8"/>
        <v>5.5123144417778838E-2</v>
      </c>
      <c r="V3" s="60">
        <f t="shared" si="9"/>
        <v>9.7203053551699711E-2</v>
      </c>
      <c r="W3" s="85">
        <f t="shared" si="10"/>
        <v>11419096</v>
      </c>
      <c r="X3" s="85">
        <f t="shared" si="11"/>
        <v>1109971</v>
      </c>
      <c r="Y3" s="39">
        <v>2006</v>
      </c>
      <c r="Z3" s="39">
        <f t="shared" si="12"/>
        <v>15</v>
      </c>
      <c r="AA3" s="39">
        <v>3</v>
      </c>
      <c r="AB3" s="39">
        <v>1</v>
      </c>
      <c r="AC3" s="39" t="s">
        <v>5</v>
      </c>
    </row>
    <row r="4" spans="1:29" s="91" customFormat="1" x14ac:dyDescent="0.25">
      <c r="A4" s="86" t="s">
        <v>58</v>
      </c>
      <c r="B4" s="87">
        <f>2630977+386966+217603</f>
        <v>3235546</v>
      </c>
      <c r="C4" s="87">
        <f>2765477+251158</f>
        <v>3016635</v>
      </c>
      <c r="D4" s="87">
        <f>3726950+189617</f>
        <v>3916567</v>
      </c>
      <c r="E4" s="87">
        <f>2782826+191686</f>
        <v>2974512</v>
      </c>
      <c r="F4" s="87">
        <v>741711</v>
      </c>
      <c r="G4" s="87">
        <v>605611</v>
      </c>
      <c r="H4" s="87">
        <v>734461</v>
      </c>
      <c r="I4" s="87">
        <v>636054</v>
      </c>
      <c r="J4" s="87"/>
      <c r="K4" s="88">
        <f t="shared" si="0"/>
        <v>-6.7658132506847379E-2</v>
      </c>
      <c r="L4" s="88">
        <f t="shared" si="1"/>
        <v>0.29832313156878443</v>
      </c>
      <c r="M4" s="88">
        <f t="shared" si="2"/>
        <v>-0.24053080159231288</v>
      </c>
      <c r="N4" s="88"/>
      <c r="O4" s="88">
        <f t="shared" si="2"/>
        <v>-0.18349464953330874</v>
      </c>
      <c r="P4" s="88">
        <f t="shared" si="3"/>
        <v>0.2127603362554511</v>
      </c>
      <c r="Q4" s="88">
        <f t="shared" si="4"/>
        <v>-0.13398533073914065</v>
      </c>
      <c r="R4" s="88">
        <f t="shared" si="5"/>
        <v>0.22923828003063471</v>
      </c>
      <c r="S4" s="88">
        <f t="shared" si="6"/>
        <v>0.20075713501964937</v>
      </c>
      <c r="T4" s="88">
        <f t="shared" si="7"/>
        <v>0.18752672940358228</v>
      </c>
      <c r="U4" s="88">
        <f t="shared" si="8"/>
        <v>0.21383473995062047</v>
      </c>
      <c r="V4" s="88">
        <f t="shared" si="9"/>
        <v>0.20678560722377859</v>
      </c>
      <c r="W4" s="89">
        <f t="shared" si="10"/>
        <v>13143260</v>
      </c>
      <c r="X4" s="89">
        <f t="shared" si="11"/>
        <v>2717837</v>
      </c>
      <c r="Y4" s="90">
        <v>1997</v>
      </c>
      <c r="Z4" s="90">
        <f t="shared" si="12"/>
        <v>24</v>
      </c>
      <c r="AA4" s="90">
        <v>1</v>
      </c>
      <c r="AB4" s="90">
        <v>1</v>
      </c>
      <c r="AC4" s="90" t="s">
        <v>30</v>
      </c>
    </row>
    <row r="5" spans="1:29" s="15" customFormat="1" ht="75" x14ac:dyDescent="0.25">
      <c r="A5" s="11" t="s">
        <v>64</v>
      </c>
      <c r="B5" s="14">
        <f>4051081.48+4129841.43</f>
        <v>8180922.9100000001</v>
      </c>
      <c r="C5" s="14">
        <f>3187272.36+4717783.8</f>
        <v>7905056.1600000001</v>
      </c>
      <c r="D5" s="14">
        <v>9265069.7699999996</v>
      </c>
      <c r="E5" s="14">
        <v>8623485.0299999993</v>
      </c>
      <c r="F5" s="14">
        <f>807115.5+19932.82</f>
        <v>827048.32</v>
      </c>
      <c r="G5" s="14">
        <f>476625+476625</f>
        <v>953250</v>
      </c>
      <c r="H5" s="14">
        <f>457787.5+457787.5</f>
        <v>915575</v>
      </c>
      <c r="I5" s="14">
        <f>177663.75+177663.75</f>
        <v>355327.5</v>
      </c>
      <c r="J5" s="14"/>
      <c r="K5" s="60">
        <f t="shared" si="0"/>
        <v>-3.3720737016454838E-2</v>
      </c>
      <c r="L5" s="60">
        <f t="shared" si="1"/>
        <v>0.17204351018804132</v>
      </c>
      <c r="M5" s="60">
        <f t="shared" ref="M5:M33" si="13">(E5/D5)-1</f>
        <v>-6.9247696555662319E-2</v>
      </c>
      <c r="N5" s="60"/>
      <c r="O5" s="60">
        <f t="shared" ref="O5:O33" si="14">(G5/F5)-1</f>
        <v>0.15259287389641285</v>
      </c>
      <c r="P5" s="60">
        <f t="shared" si="3"/>
        <v>-3.9522685549436165E-2</v>
      </c>
      <c r="Q5" s="60">
        <f t="shared" si="4"/>
        <v>-0.61190781749174017</v>
      </c>
      <c r="R5" s="60">
        <f t="shared" si="5"/>
        <v>0.10109474555603654</v>
      </c>
      <c r="S5" s="60">
        <f t="shared" si="6"/>
        <v>0.12058737859744692</v>
      </c>
      <c r="T5" s="60">
        <f t="shared" si="7"/>
        <v>9.8820086920942851E-2</v>
      </c>
      <c r="U5" s="60">
        <f t="shared" si="8"/>
        <v>4.1204628843659052E-2</v>
      </c>
      <c r="V5" s="60">
        <f t="shared" si="9"/>
        <v>8.9808467473758452E-2</v>
      </c>
      <c r="W5" s="85">
        <f t="shared" si="10"/>
        <v>33974533.869999997</v>
      </c>
      <c r="X5" s="85">
        <f t="shared" si="11"/>
        <v>3051200.82</v>
      </c>
      <c r="Y5" s="39">
        <v>1773</v>
      </c>
      <c r="Z5" s="39">
        <f t="shared" si="12"/>
        <v>248</v>
      </c>
      <c r="AA5" s="39">
        <v>1</v>
      </c>
      <c r="AB5" s="39">
        <v>1</v>
      </c>
      <c r="AC5" s="39" t="s">
        <v>66</v>
      </c>
    </row>
    <row r="6" spans="1:29" x14ac:dyDescent="0.25">
      <c r="A6" s="4" t="s">
        <v>87</v>
      </c>
      <c r="B6" s="5">
        <v>13841000</v>
      </c>
      <c r="C6" s="5">
        <v>11888000</v>
      </c>
      <c r="D6" s="5">
        <v>10298000</v>
      </c>
      <c r="E6" s="5">
        <v>6578000</v>
      </c>
      <c r="F6" s="5">
        <v>23000</v>
      </c>
      <c r="G6" s="5">
        <v>23000</v>
      </c>
      <c r="H6" s="5">
        <v>28000</v>
      </c>
      <c r="I6" s="5">
        <v>28000</v>
      </c>
      <c r="J6" s="5"/>
      <c r="K6" s="60">
        <f t="shared" si="0"/>
        <v>-0.14110252149411173</v>
      </c>
      <c r="L6" s="60">
        <f t="shared" si="1"/>
        <v>-0.13374831763122474</v>
      </c>
      <c r="M6" s="60">
        <f t="shared" si="13"/>
        <v>-0.36123519129928139</v>
      </c>
      <c r="N6" s="60"/>
      <c r="O6" s="60">
        <f t="shared" si="14"/>
        <v>0</v>
      </c>
      <c r="P6" s="60">
        <f t="shared" si="3"/>
        <v>0.21739130434782616</v>
      </c>
      <c r="Q6" s="60">
        <f t="shared" si="4"/>
        <v>0</v>
      </c>
      <c r="R6" s="60">
        <f t="shared" si="5"/>
        <v>1.6617296438118632E-3</v>
      </c>
      <c r="S6" s="60">
        <f t="shared" si="6"/>
        <v>1.9347240915208613E-3</v>
      </c>
      <c r="T6" s="60">
        <f t="shared" si="7"/>
        <v>2.7189745581666343E-3</v>
      </c>
      <c r="U6" s="60">
        <f t="shared" si="8"/>
        <v>4.256612952265126E-3</v>
      </c>
      <c r="V6" s="60">
        <f t="shared" si="9"/>
        <v>2.3940852012674569E-3</v>
      </c>
      <c r="W6" s="85">
        <f t="shared" si="10"/>
        <v>42605000</v>
      </c>
      <c r="X6" s="85">
        <f t="shared" si="11"/>
        <v>102000</v>
      </c>
      <c r="Y6" s="39">
        <v>1994</v>
      </c>
      <c r="Z6" s="39">
        <f t="shared" si="12"/>
        <v>27</v>
      </c>
      <c r="AA6" s="39">
        <v>1</v>
      </c>
      <c r="AB6" s="39">
        <v>1</v>
      </c>
      <c r="AC6" s="39" t="s">
        <v>35</v>
      </c>
    </row>
    <row r="7" spans="1:29" ht="45" x14ac:dyDescent="0.25">
      <c r="A7" s="4" t="s">
        <v>88</v>
      </c>
      <c r="B7" s="5">
        <f>1390299</f>
        <v>1390299</v>
      </c>
      <c r="C7" s="5">
        <v>2612363</v>
      </c>
      <c r="D7" s="5">
        <v>3392407</v>
      </c>
      <c r="E7" s="5">
        <v>3873235</v>
      </c>
      <c r="F7" s="5">
        <v>56963</v>
      </c>
      <c r="G7" s="5">
        <v>75978</v>
      </c>
      <c r="H7" s="5">
        <v>239554</v>
      </c>
      <c r="I7" s="5">
        <v>69610</v>
      </c>
      <c r="J7" s="5"/>
      <c r="K7" s="60">
        <f t="shared" si="0"/>
        <v>0.8789936553216251</v>
      </c>
      <c r="L7" s="60">
        <f t="shared" si="1"/>
        <v>0.29859709389545031</v>
      </c>
      <c r="M7" s="60">
        <f t="shared" si="13"/>
        <v>0.14173653102354766</v>
      </c>
      <c r="N7" s="60"/>
      <c r="O7" s="60">
        <f t="shared" si="14"/>
        <v>0.33381317697452739</v>
      </c>
      <c r="P7" s="60">
        <f t="shared" si="3"/>
        <v>2.1529390086604017</v>
      </c>
      <c r="Q7" s="60">
        <f t="shared" si="4"/>
        <v>-0.70941833574058455</v>
      </c>
      <c r="R7" s="60">
        <f t="shared" si="5"/>
        <v>4.0971762189284465E-2</v>
      </c>
      <c r="S7" s="60">
        <f t="shared" si="6"/>
        <v>2.9084013209496537E-2</v>
      </c>
      <c r="T7" s="60">
        <f t="shared" si="7"/>
        <v>7.0614758193813423E-2</v>
      </c>
      <c r="U7" s="60">
        <f t="shared" si="8"/>
        <v>1.7972056949810689E-2</v>
      </c>
      <c r="V7" s="60">
        <f t="shared" si="9"/>
        <v>3.923438700269357E-2</v>
      </c>
      <c r="W7" s="85">
        <f t="shared" si="10"/>
        <v>11268304</v>
      </c>
      <c r="X7" s="85">
        <f t="shared" si="11"/>
        <v>442105</v>
      </c>
      <c r="Y7" s="39">
        <v>1995</v>
      </c>
      <c r="Z7" s="39">
        <f t="shared" si="12"/>
        <v>26</v>
      </c>
      <c r="AA7" s="39">
        <v>1</v>
      </c>
      <c r="AB7" s="39">
        <v>1</v>
      </c>
      <c r="AC7" s="39" t="s">
        <v>5</v>
      </c>
    </row>
    <row r="8" spans="1:29" ht="45" x14ac:dyDescent="0.25">
      <c r="A8" s="4" t="s">
        <v>100</v>
      </c>
      <c r="B8" s="5">
        <f>3624644+166956</f>
        <v>3791600</v>
      </c>
      <c r="C8" s="5">
        <f>3424434+159390</f>
        <v>3583824</v>
      </c>
      <c r="D8" s="5">
        <f>3640553+196048</f>
        <v>3836601</v>
      </c>
      <c r="E8" s="5">
        <f>4341115+89299</f>
        <v>4430414</v>
      </c>
      <c r="F8" s="5">
        <v>64000</v>
      </c>
      <c r="G8" s="5">
        <v>79500</v>
      </c>
      <c r="H8" s="5">
        <v>50615</v>
      </c>
      <c r="I8" s="5">
        <v>61445</v>
      </c>
      <c r="J8" s="5"/>
      <c r="K8" s="60">
        <f t="shared" si="0"/>
        <v>-5.4799029433484581E-2</v>
      </c>
      <c r="L8" s="60">
        <f t="shared" si="1"/>
        <v>7.0532760537347805E-2</v>
      </c>
      <c r="M8" s="60">
        <f t="shared" si="13"/>
        <v>0.15477580285257697</v>
      </c>
      <c r="N8" s="60"/>
      <c r="O8" s="60">
        <f t="shared" si="14"/>
        <v>0.2421875</v>
      </c>
      <c r="P8" s="60">
        <f t="shared" si="3"/>
        <v>-0.36333333333333329</v>
      </c>
      <c r="Q8" s="60">
        <f t="shared" si="4"/>
        <v>0.21396819124765387</v>
      </c>
      <c r="R8" s="60">
        <f t="shared" si="5"/>
        <v>1.6879417660090726E-2</v>
      </c>
      <c r="S8" s="60">
        <f t="shared" si="6"/>
        <v>2.2183008987048471E-2</v>
      </c>
      <c r="T8" s="60">
        <f t="shared" si="7"/>
        <v>1.3192667155119858E-2</v>
      </c>
      <c r="U8" s="60">
        <f t="shared" si="8"/>
        <v>1.3868907059249994E-2</v>
      </c>
      <c r="V8" s="60">
        <f t="shared" si="9"/>
        <v>1.6337605663669201E-2</v>
      </c>
      <c r="W8" s="85">
        <f t="shared" si="10"/>
        <v>15642439</v>
      </c>
      <c r="X8" s="85">
        <f t="shared" si="11"/>
        <v>255560</v>
      </c>
      <c r="Y8" s="39">
        <v>1999</v>
      </c>
      <c r="Z8" s="39">
        <f t="shared" si="12"/>
        <v>22</v>
      </c>
      <c r="AA8" s="39">
        <v>7</v>
      </c>
      <c r="AB8" s="39">
        <v>1</v>
      </c>
      <c r="AC8" s="39" t="s">
        <v>5</v>
      </c>
    </row>
    <row r="9" spans="1:29" s="15" customFormat="1" ht="30" x14ac:dyDescent="0.25">
      <c r="A9" s="11" t="s">
        <v>103</v>
      </c>
      <c r="B9" s="14">
        <f>1118979.92+745482.08+16112.85+86888.14+176160+250591.07+2297.8+153871.46</f>
        <v>2550383.3199999998</v>
      </c>
      <c r="C9" s="14">
        <f>1290285.12+111422.88</f>
        <v>1401708</v>
      </c>
      <c r="D9" s="14">
        <f>1308553.7+97985.84</f>
        <v>1406539.54</v>
      </c>
      <c r="E9" s="14">
        <f>2768053.92</f>
        <v>2768053.92</v>
      </c>
      <c r="F9" s="14">
        <v>176160</v>
      </c>
      <c r="G9" s="14">
        <v>213520</v>
      </c>
      <c r="H9" s="14">
        <v>213520</v>
      </c>
      <c r="I9" s="14">
        <v>238720</v>
      </c>
      <c r="J9" s="14"/>
      <c r="K9" s="60">
        <f t="shared" si="0"/>
        <v>-0.45039320599069788</v>
      </c>
      <c r="L9" s="60">
        <f t="shared" si="1"/>
        <v>3.4468947883581347E-3</v>
      </c>
      <c r="M9" s="60">
        <f t="shared" si="13"/>
        <v>0.96798869941473509</v>
      </c>
      <c r="N9" s="60"/>
      <c r="O9" s="60">
        <f t="shared" si="14"/>
        <v>0.212079927338783</v>
      </c>
      <c r="P9" s="60">
        <f t="shared" si="3"/>
        <v>0</v>
      </c>
      <c r="Q9" s="60">
        <f t="shared" si="4"/>
        <v>0.11802173098538771</v>
      </c>
      <c r="R9" s="60">
        <f t="shared" si="5"/>
        <v>6.9071969934307767E-2</v>
      </c>
      <c r="S9" s="60">
        <f t="shared" si="6"/>
        <v>0.15232844501137183</v>
      </c>
      <c r="T9" s="60">
        <f t="shared" si="7"/>
        <v>0.15180518849829133</v>
      </c>
      <c r="U9" s="60">
        <f t="shared" si="8"/>
        <v>8.6241094609891128E-2</v>
      </c>
      <c r="V9" s="60">
        <f t="shared" si="9"/>
        <v>0.10359944095186131</v>
      </c>
      <c r="W9" s="85">
        <f t="shared" si="10"/>
        <v>8126684.7799999993</v>
      </c>
      <c r="X9" s="85">
        <f t="shared" si="11"/>
        <v>841920</v>
      </c>
      <c r="Y9" s="44">
        <v>2010</v>
      </c>
      <c r="Z9" s="44">
        <f t="shared" si="12"/>
        <v>11</v>
      </c>
      <c r="AA9" s="44">
        <v>1</v>
      </c>
      <c r="AB9" s="44">
        <v>1</v>
      </c>
      <c r="AC9" s="44" t="s">
        <v>66</v>
      </c>
    </row>
    <row r="10" spans="1:29" x14ac:dyDescent="0.25">
      <c r="A10" s="4" t="s">
        <v>129</v>
      </c>
      <c r="B10" s="5">
        <f>15440419</f>
        <v>15440419</v>
      </c>
      <c r="C10" s="5">
        <v>11499186</v>
      </c>
      <c r="D10" s="5">
        <f>22381630</f>
        <v>22381630</v>
      </c>
      <c r="E10" s="5">
        <v>17781156</v>
      </c>
      <c r="F10" s="5">
        <v>2422660</v>
      </c>
      <c r="G10" s="5">
        <v>2260366</v>
      </c>
      <c r="H10" s="5">
        <v>2864833</v>
      </c>
      <c r="I10" s="5">
        <v>740899</v>
      </c>
      <c r="J10" s="5"/>
      <c r="K10" s="60">
        <f t="shared" si="0"/>
        <v>-0.25525427774984599</v>
      </c>
      <c r="L10" s="60">
        <f t="shared" si="1"/>
        <v>0.94636646454801232</v>
      </c>
      <c r="M10" s="60">
        <f t="shared" si="13"/>
        <v>-0.20554687035752084</v>
      </c>
      <c r="N10" s="60"/>
      <c r="O10" s="60">
        <f t="shared" si="14"/>
        <v>-6.6990002724278241E-2</v>
      </c>
      <c r="P10" s="60">
        <f t="shared" si="3"/>
        <v>0.26741996650100019</v>
      </c>
      <c r="Q10" s="60">
        <f t="shared" si="4"/>
        <v>-0.74138143479916629</v>
      </c>
      <c r="R10" s="60">
        <f t="shared" si="5"/>
        <v>0.15690377314242573</v>
      </c>
      <c r="S10" s="60">
        <f t="shared" si="6"/>
        <v>0.19656747877632383</v>
      </c>
      <c r="T10" s="60">
        <f t="shared" si="7"/>
        <v>0.12799930121264627</v>
      </c>
      <c r="U10" s="60">
        <f t="shared" si="8"/>
        <v>4.1667650854646347E-2</v>
      </c>
      <c r="V10" s="60">
        <f t="shared" si="9"/>
        <v>0.12352403359218601</v>
      </c>
      <c r="W10" s="85">
        <f t="shared" si="10"/>
        <v>67102391</v>
      </c>
      <c r="X10" s="85">
        <f t="shared" si="11"/>
        <v>8288758</v>
      </c>
      <c r="Y10" s="39">
        <v>1991</v>
      </c>
      <c r="Z10" s="39">
        <f t="shared" si="12"/>
        <v>30</v>
      </c>
      <c r="AA10" s="39">
        <v>3</v>
      </c>
      <c r="AB10" s="39">
        <v>1</v>
      </c>
      <c r="AC10" s="39" t="s">
        <v>30</v>
      </c>
    </row>
    <row r="11" spans="1:29" ht="45.6" customHeight="1" x14ac:dyDescent="0.25">
      <c r="A11" s="4" t="s">
        <v>132</v>
      </c>
      <c r="B11" s="5">
        <f>782764+17580</f>
        <v>800344</v>
      </c>
      <c r="C11" s="5">
        <f>2487075+24370</f>
        <v>2511445</v>
      </c>
      <c r="D11" s="5">
        <f>2712921</f>
        <v>2712921</v>
      </c>
      <c r="E11" s="5">
        <f>2767348+973</f>
        <v>2768321</v>
      </c>
      <c r="F11" s="5">
        <v>135918</v>
      </c>
      <c r="G11" s="5">
        <v>116279</v>
      </c>
      <c r="H11" s="5">
        <v>119411</v>
      </c>
      <c r="I11" s="5">
        <v>104453</v>
      </c>
      <c r="J11" s="5"/>
      <c r="K11" s="60">
        <f t="shared" si="0"/>
        <v>2.1379569285207363</v>
      </c>
      <c r="L11" s="60">
        <f t="shared" si="1"/>
        <v>8.0223138472074851E-2</v>
      </c>
      <c r="M11" s="60">
        <f t="shared" si="13"/>
        <v>2.0420793675894E-2</v>
      </c>
      <c r="N11" s="60"/>
      <c r="O11" s="60">
        <f t="shared" si="14"/>
        <v>-0.14449153165879425</v>
      </c>
      <c r="P11" s="60">
        <f t="shared" si="3"/>
        <v>2.6935216161129594E-2</v>
      </c>
      <c r="Q11" s="60">
        <f t="shared" si="4"/>
        <v>-0.12526484159750773</v>
      </c>
      <c r="R11" s="60">
        <f t="shared" si="5"/>
        <v>0.16982447547554552</v>
      </c>
      <c r="S11" s="60">
        <f t="shared" si="6"/>
        <v>4.6299640246949464E-2</v>
      </c>
      <c r="T11" s="60">
        <f t="shared" si="7"/>
        <v>4.401565692476854E-2</v>
      </c>
      <c r="U11" s="60">
        <f t="shared" si="8"/>
        <v>3.7731534746151187E-2</v>
      </c>
      <c r="V11" s="60">
        <f t="shared" si="9"/>
        <v>5.4140716665277311E-2</v>
      </c>
      <c r="W11" s="85">
        <f t="shared" si="10"/>
        <v>8793031</v>
      </c>
      <c r="X11" s="85">
        <f t="shared" si="11"/>
        <v>476061</v>
      </c>
      <c r="Y11" s="39">
        <v>2003</v>
      </c>
      <c r="Z11" s="39">
        <f t="shared" si="12"/>
        <v>18</v>
      </c>
      <c r="AA11" s="39">
        <v>7</v>
      </c>
      <c r="AB11" s="39">
        <v>1</v>
      </c>
      <c r="AC11" s="39" t="s">
        <v>134</v>
      </c>
    </row>
    <row r="12" spans="1:29" x14ac:dyDescent="0.25">
      <c r="A12" s="4" t="s">
        <v>156</v>
      </c>
      <c r="B12" s="5">
        <f>1960401+118062</f>
        <v>2078463</v>
      </c>
      <c r="C12" s="5">
        <f>1737661+33059</f>
        <v>1770720</v>
      </c>
      <c r="D12" s="5">
        <f>2496370+25773</f>
        <v>2522143</v>
      </c>
      <c r="E12" s="5">
        <f>2470555+17036</f>
        <v>2487591</v>
      </c>
      <c r="F12" s="5">
        <v>171352</v>
      </c>
      <c r="G12" s="5">
        <v>65741</v>
      </c>
      <c r="H12" s="5">
        <v>40829</v>
      </c>
      <c r="I12" s="5">
        <v>4115</v>
      </c>
      <c r="J12" s="5"/>
      <c r="K12" s="60">
        <f t="shared" si="0"/>
        <v>-0.1480627752334297</v>
      </c>
      <c r="L12" s="60">
        <f t="shared" si="1"/>
        <v>0.42436014728472027</v>
      </c>
      <c r="M12" s="60">
        <f t="shared" si="13"/>
        <v>-1.3699461132854029E-2</v>
      </c>
      <c r="N12" s="60"/>
      <c r="O12" s="60">
        <f t="shared" si="14"/>
        <v>-0.61633946496101588</v>
      </c>
      <c r="P12" s="60">
        <f t="shared" si="3"/>
        <v>-0.37894160417395539</v>
      </c>
      <c r="Q12" s="60">
        <f t="shared" si="4"/>
        <v>-0.8992137941169267</v>
      </c>
      <c r="R12" s="60">
        <f t="shared" si="5"/>
        <v>8.2441688882602199E-2</v>
      </c>
      <c r="S12" s="60">
        <f t="shared" si="6"/>
        <v>3.7126705520918048E-2</v>
      </c>
      <c r="T12" s="60">
        <f t="shared" si="7"/>
        <v>1.6188217718027885E-2</v>
      </c>
      <c r="U12" s="60">
        <f t="shared" si="8"/>
        <v>1.6542108409300404E-3</v>
      </c>
      <c r="V12" s="60">
        <f t="shared" si="9"/>
        <v>3.1836510038416657E-2</v>
      </c>
      <c r="W12" s="85">
        <f t="shared" si="10"/>
        <v>8858917</v>
      </c>
      <c r="X12" s="85">
        <f t="shared" si="11"/>
        <v>282037</v>
      </c>
      <c r="Y12" s="39">
        <v>2011</v>
      </c>
      <c r="Z12" s="39">
        <f t="shared" si="12"/>
        <v>10</v>
      </c>
      <c r="AA12" s="39">
        <v>1</v>
      </c>
      <c r="AB12" s="39">
        <v>1</v>
      </c>
      <c r="AC12" s="39" t="s">
        <v>5</v>
      </c>
    </row>
    <row r="13" spans="1:29" ht="30" x14ac:dyDescent="0.25">
      <c r="A13" s="4" t="s">
        <v>168</v>
      </c>
      <c r="B13" s="5">
        <f>51878659.07</f>
        <v>51878659.07</v>
      </c>
      <c r="C13" s="5">
        <f>50313064.34</f>
        <v>50313064.340000004</v>
      </c>
      <c r="D13" s="5">
        <f>50583475.96+1225837.86</f>
        <v>51809313.82</v>
      </c>
      <c r="E13" s="5">
        <f>30977688.03+246534.73</f>
        <v>31224222.760000002</v>
      </c>
      <c r="F13" s="5">
        <v>80804.33</v>
      </c>
      <c r="G13" s="5">
        <v>96026.240000000005</v>
      </c>
      <c r="H13" s="5">
        <v>101802.92</v>
      </c>
      <c r="I13" s="5">
        <v>61198.75</v>
      </c>
      <c r="J13" s="5"/>
      <c r="K13" s="60">
        <f t="shared" si="0"/>
        <v>-3.0178010728602933E-2</v>
      </c>
      <c r="L13" s="60">
        <f t="shared" si="1"/>
        <v>2.9738786528461292E-2</v>
      </c>
      <c r="M13" s="60">
        <f t="shared" si="13"/>
        <v>-0.39732414004783667</v>
      </c>
      <c r="N13" s="60"/>
      <c r="O13" s="60">
        <f t="shared" si="14"/>
        <v>0.18837988013761153</v>
      </c>
      <c r="P13" s="60">
        <f t="shared" si="3"/>
        <v>6.0157307002752569E-2</v>
      </c>
      <c r="Q13" s="60">
        <f t="shared" si="4"/>
        <v>-0.39885074023417011</v>
      </c>
      <c r="R13" s="60">
        <f t="shared" si="5"/>
        <v>1.5575639665429773E-3</v>
      </c>
      <c r="S13" s="60">
        <f t="shared" si="6"/>
        <v>1.9085746666329963E-3</v>
      </c>
      <c r="T13" s="60">
        <f t="shared" si="7"/>
        <v>1.9649540303446544E-3</v>
      </c>
      <c r="U13" s="60">
        <f t="shared" si="8"/>
        <v>1.9599767292974562E-3</v>
      </c>
      <c r="V13" s="60">
        <f t="shared" si="9"/>
        <v>1.834697060316433E-3</v>
      </c>
      <c r="W13" s="85">
        <f t="shared" si="10"/>
        <v>185225259.98999998</v>
      </c>
      <c r="X13" s="85">
        <f t="shared" si="11"/>
        <v>339832.24</v>
      </c>
      <c r="Y13" s="39">
        <v>1963</v>
      </c>
      <c r="Z13" s="39">
        <f t="shared" si="12"/>
        <v>58</v>
      </c>
      <c r="AA13" s="39">
        <v>1</v>
      </c>
      <c r="AB13" s="39">
        <v>1</v>
      </c>
      <c r="AC13" s="39" t="s">
        <v>171</v>
      </c>
    </row>
    <row r="14" spans="1:29" s="15" customFormat="1" ht="30" x14ac:dyDescent="0.25">
      <c r="A14" s="11" t="s">
        <v>173</v>
      </c>
      <c r="B14" s="14">
        <f>2384666.74</f>
        <v>2384666.7400000002</v>
      </c>
      <c r="C14" s="14">
        <f>2853935.17</f>
        <v>2853935.17</v>
      </c>
      <c r="D14" s="14">
        <f>2711865.89</f>
        <v>2711865.89</v>
      </c>
      <c r="E14" s="14">
        <v>2105440.29</v>
      </c>
      <c r="F14" s="14">
        <v>111409.76</v>
      </c>
      <c r="G14" s="14">
        <v>102155.87</v>
      </c>
      <c r="H14" s="14">
        <v>65752.210000000006</v>
      </c>
      <c r="I14" s="14">
        <v>70437.119999999995</v>
      </c>
      <c r="J14" s="14"/>
      <c r="K14" s="60">
        <f t="shared" si="0"/>
        <v>0.19678574877091615</v>
      </c>
      <c r="L14" s="60">
        <f t="shared" si="1"/>
        <v>-4.9780135685422611E-2</v>
      </c>
      <c r="M14" s="60">
        <f t="shared" si="13"/>
        <v>-0.22361931769420951</v>
      </c>
      <c r="N14" s="60"/>
      <c r="O14" s="60">
        <f t="shared" si="14"/>
        <v>-8.3061753297018148E-2</v>
      </c>
      <c r="P14" s="60">
        <f t="shared" si="3"/>
        <v>-0.35635406952140869</v>
      </c>
      <c r="Q14" s="60">
        <f t="shared" si="4"/>
        <v>7.1250989130251074E-2</v>
      </c>
      <c r="R14" s="60">
        <f t="shared" si="5"/>
        <v>4.6719215784424444E-2</v>
      </c>
      <c r="S14" s="60">
        <f t="shared" si="6"/>
        <v>3.5794740915575878E-2</v>
      </c>
      <c r="T14" s="60">
        <f t="shared" si="7"/>
        <v>2.4246114176390929E-2</v>
      </c>
      <c r="U14" s="60">
        <f t="shared" si="8"/>
        <v>3.3454817186955227E-2</v>
      </c>
      <c r="V14" s="60">
        <f t="shared" si="9"/>
        <v>3.4781041838261272E-2</v>
      </c>
      <c r="W14" s="85">
        <f t="shared" si="10"/>
        <v>10055908.09</v>
      </c>
      <c r="X14" s="85">
        <f t="shared" si="11"/>
        <v>349754.96</v>
      </c>
      <c r="Y14" s="44">
        <v>1992</v>
      </c>
      <c r="Z14" s="44">
        <f t="shared" si="12"/>
        <v>29</v>
      </c>
      <c r="AA14" s="44">
        <v>1</v>
      </c>
      <c r="AB14" s="44">
        <v>1</v>
      </c>
      <c r="AC14" s="44" t="s">
        <v>171</v>
      </c>
    </row>
    <row r="15" spans="1:29" ht="30" x14ac:dyDescent="0.25">
      <c r="A15" s="4" t="s">
        <v>176</v>
      </c>
      <c r="B15" s="5">
        <f>121113000+46718000+4910000+7239000+2956000+249000+7776000</f>
        <v>190961000</v>
      </c>
      <c r="C15" s="5">
        <f>116352000+45345000+4835000+6314000+5889000+196000+9137000</f>
        <v>188068000</v>
      </c>
      <c r="D15" s="5">
        <f>189233180.43+2368032.91</f>
        <v>191601213.34</v>
      </c>
      <c r="E15" s="5">
        <f>169757451.76+1358816.29</f>
        <v>171116268.04999998</v>
      </c>
      <c r="F15" s="5">
        <f>42000+174000+32000</f>
        <v>248000</v>
      </c>
      <c r="G15" s="5">
        <f>55000+212000+7000</f>
        <v>274000</v>
      </c>
      <c r="H15" s="5">
        <f>1839866.73</f>
        <v>1839866.73</v>
      </c>
      <c r="I15" s="5">
        <v>1797377.76</v>
      </c>
      <c r="J15" s="5"/>
      <c r="K15" s="60">
        <f t="shared" si="0"/>
        <v>-1.514969025088897E-2</v>
      </c>
      <c r="L15" s="60">
        <f t="shared" si="1"/>
        <v>1.8786892719654613E-2</v>
      </c>
      <c r="M15" s="60">
        <f t="shared" si="13"/>
        <v>-0.10691448625457867</v>
      </c>
      <c r="N15" s="60"/>
      <c r="O15" s="60">
        <f t="shared" si="14"/>
        <v>0.10483870967741926</v>
      </c>
      <c r="P15" s="60">
        <f t="shared" si="3"/>
        <v>5.7148420802919704</v>
      </c>
      <c r="Q15" s="60">
        <f t="shared" si="4"/>
        <v>-2.3093504169185097E-2</v>
      </c>
      <c r="R15" s="60">
        <f t="shared" si="5"/>
        <v>1.2986944978293996E-3</v>
      </c>
      <c r="S15" s="60">
        <f t="shared" si="6"/>
        <v>1.456919837505583E-3</v>
      </c>
      <c r="T15" s="60">
        <f t="shared" si="7"/>
        <v>9.6025839185846975E-3</v>
      </c>
      <c r="U15" s="60">
        <f t="shared" si="8"/>
        <v>1.0503839176032101E-2</v>
      </c>
      <c r="V15" s="60">
        <f t="shared" si="9"/>
        <v>5.6073666601097463E-3</v>
      </c>
      <c r="W15" s="85">
        <f t="shared" si="10"/>
        <v>741746481.38999999</v>
      </c>
      <c r="X15" s="85">
        <f t="shared" si="11"/>
        <v>4159244.49</v>
      </c>
      <c r="Y15" s="39">
        <v>1947</v>
      </c>
      <c r="Z15" s="39">
        <f t="shared" si="12"/>
        <v>74</v>
      </c>
      <c r="AA15" s="39">
        <v>1</v>
      </c>
      <c r="AB15" s="39">
        <v>1</v>
      </c>
      <c r="AC15" s="39" t="s">
        <v>17</v>
      </c>
    </row>
    <row r="16" spans="1:29" ht="45" x14ac:dyDescent="0.25">
      <c r="A16" s="4" t="s">
        <v>180</v>
      </c>
      <c r="B16" s="5">
        <f>80517582</f>
        <v>80517582</v>
      </c>
      <c r="C16" s="5">
        <f>84392183</f>
        <v>84392183</v>
      </c>
      <c r="D16" s="5">
        <f>87229546</f>
        <v>87229546</v>
      </c>
      <c r="E16" s="5">
        <f>89600590</f>
        <v>89600590</v>
      </c>
      <c r="F16" s="5">
        <v>39175</v>
      </c>
      <c r="G16" s="5">
        <v>48009</v>
      </c>
      <c r="H16" s="5">
        <v>49233</v>
      </c>
      <c r="I16" s="5">
        <v>14629</v>
      </c>
      <c r="J16" s="5"/>
      <c r="K16" s="60">
        <f t="shared" si="0"/>
        <v>4.8121179297212269E-2</v>
      </c>
      <c r="L16" s="60">
        <f t="shared" si="1"/>
        <v>3.3621158964450615E-2</v>
      </c>
      <c r="M16" s="60">
        <f t="shared" si="13"/>
        <v>2.7181661589755324E-2</v>
      </c>
      <c r="N16" s="60"/>
      <c r="O16" s="60">
        <f t="shared" si="14"/>
        <v>0.22550095724313968</v>
      </c>
      <c r="P16" s="60">
        <f t="shared" si="3"/>
        <v>2.5495219646316292E-2</v>
      </c>
      <c r="Q16" s="60">
        <f t="shared" si="4"/>
        <v>-0.7028619015700851</v>
      </c>
      <c r="R16" s="60">
        <f t="shared" si="5"/>
        <v>4.8653969762778022E-4</v>
      </c>
      <c r="S16" s="60">
        <f t="shared" si="6"/>
        <v>5.6887970299334474E-4</v>
      </c>
      <c r="T16" s="60">
        <f t="shared" si="7"/>
        <v>5.644073855434258E-4</v>
      </c>
      <c r="U16" s="60">
        <f t="shared" si="8"/>
        <v>1.6326901418841104E-4</v>
      </c>
      <c r="V16" s="60">
        <f t="shared" si="9"/>
        <v>4.4199111534242531E-4</v>
      </c>
      <c r="W16" s="85">
        <f t="shared" si="10"/>
        <v>341739901</v>
      </c>
      <c r="X16" s="85">
        <f t="shared" si="11"/>
        <v>151046</v>
      </c>
      <c r="Y16" s="39">
        <v>1980</v>
      </c>
      <c r="Z16" s="39">
        <f t="shared" si="12"/>
        <v>41</v>
      </c>
      <c r="AA16" s="39">
        <v>3</v>
      </c>
      <c r="AB16" s="39">
        <v>1</v>
      </c>
      <c r="AC16" s="39" t="s">
        <v>181</v>
      </c>
    </row>
    <row r="17" spans="1:29" x14ac:dyDescent="0.25">
      <c r="A17" s="4" t="s">
        <v>183</v>
      </c>
      <c r="B17" s="5">
        <f>6800487-17081</f>
        <v>6783406</v>
      </c>
      <c r="C17" s="5">
        <f>7582666-85718</f>
        <v>7496948</v>
      </c>
      <c r="D17" s="5">
        <f>9719827+84477</f>
        <v>9804304</v>
      </c>
      <c r="E17" s="5">
        <f>8372499+14613</f>
        <v>8387112</v>
      </c>
      <c r="F17" s="5">
        <v>305002</v>
      </c>
      <c r="G17" s="5">
        <v>318638</v>
      </c>
      <c r="H17" s="5">
        <v>287734</v>
      </c>
      <c r="I17" s="5">
        <v>272967</v>
      </c>
      <c r="J17" s="5"/>
      <c r="K17" s="60">
        <f t="shared" si="0"/>
        <v>0.10518933998643165</v>
      </c>
      <c r="L17" s="60">
        <f t="shared" si="1"/>
        <v>0.30777270964131009</v>
      </c>
      <c r="M17" s="60">
        <f t="shared" si="13"/>
        <v>-0.14454794547374294</v>
      </c>
      <c r="N17" s="60"/>
      <c r="O17" s="60">
        <f t="shared" si="14"/>
        <v>4.4707903554730866E-2</v>
      </c>
      <c r="P17" s="60">
        <f t="shared" si="3"/>
        <v>-9.6987804342231643E-2</v>
      </c>
      <c r="Q17" s="60">
        <f t="shared" si="4"/>
        <v>-5.1321706854247306E-2</v>
      </c>
      <c r="R17" s="60">
        <f t="shared" si="5"/>
        <v>4.4962958136369843E-2</v>
      </c>
      <c r="S17" s="60">
        <f t="shared" si="6"/>
        <v>4.250236229462976E-2</v>
      </c>
      <c r="T17" s="60">
        <f t="shared" si="7"/>
        <v>2.9347723204013257E-2</v>
      </c>
      <c r="U17" s="60">
        <f t="shared" si="8"/>
        <v>3.2546006301096254E-2</v>
      </c>
      <c r="V17" s="60">
        <f t="shared" si="9"/>
        <v>3.6472942497437003E-2</v>
      </c>
      <c r="W17" s="85">
        <f t="shared" si="10"/>
        <v>32471770</v>
      </c>
      <c r="X17" s="85">
        <f t="shared" si="11"/>
        <v>1184341</v>
      </c>
      <c r="Y17" s="39">
        <v>1997</v>
      </c>
      <c r="Z17" s="39">
        <f t="shared" si="12"/>
        <v>24</v>
      </c>
      <c r="AA17" s="39">
        <v>1</v>
      </c>
      <c r="AB17" s="39">
        <v>1</v>
      </c>
      <c r="AC17" s="39" t="s">
        <v>185</v>
      </c>
    </row>
    <row r="18" spans="1:29" ht="45" x14ac:dyDescent="0.25">
      <c r="A18" s="4" t="s">
        <v>187</v>
      </c>
      <c r="B18" s="5">
        <f>118664000+393000</f>
        <v>119057000</v>
      </c>
      <c r="C18" s="5">
        <f>138739000+699000</f>
        <v>139438000</v>
      </c>
      <c r="D18" s="5">
        <f>154762000+1261000</f>
        <v>156023000</v>
      </c>
      <c r="E18" s="5">
        <f>159706000+929000</f>
        <v>160635000</v>
      </c>
      <c r="F18" s="5">
        <v>2120000</v>
      </c>
      <c r="G18" s="5">
        <v>2077000</v>
      </c>
      <c r="H18" s="5">
        <v>9150000</v>
      </c>
      <c r="I18" s="5">
        <v>1152000</v>
      </c>
      <c r="J18" s="5"/>
      <c r="K18" s="60">
        <f t="shared" si="0"/>
        <v>0.17118691047145496</v>
      </c>
      <c r="L18" s="60">
        <f t="shared" si="1"/>
        <v>0.11894175188972866</v>
      </c>
      <c r="M18" s="60">
        <f t="shared" si="13"/>
        <v>2.9559744396659537E-2</v>
      </c>
      <c r="N18" s="60"/>
      <c r="O18" s="60">
        <f t="shared" si="14"/>
        <v>-2.0283018867924496E-2</v>
      </c>
      <c r="P18" s="60">
        <f t="shared" si="3"/>
        <v>3.4053923928743384</v>
      </c>
      <c r="Q18" s="60">
        <f t="shared" si="4"/>
        <v>-0.87409836065573776</v>
      </c>
      <c r="R18" s="60">
        <f t="shared" si="5"/>
        <v>1.7806596840168994E-2</v>
      </c>
      <c r="S18" s="60">
        <f t="shared" si="6"/>
        <v>1.4895509115162294E-2</v>
      </c>
      <c r="T18" s="60">
        <f t="shared" si="7"/>
        <v>5.8645199746191264E-2</v>
      </c>
      <c r="U18" s="60">
        <f t="shared" si="8"/>
        <v>7.1715379587263053E-3</v>
      </c>
      <c r="V18" s="60">
        <f t="shared" si="9"/>
        <v>2.5208944402619823E-2</v>
      </c>
      <c r="W18" s="85">
        <f t="shared" si="10"/>
        <v>575153000</v>
      </c>
      <c r="X18" s="85">
        <f t="shared" si="11"/>
        <v>14499000</v>
      </c>
      <c r="Y18" s="39">
        <v>1991</v>
      </c>
      <c r="Z18" s="39">
        <f t="shared" si="12"/>
        <v>30</v>
      </c>
      <c r="AA18" s="39">
        <v>3</v>
      </c>
      <c r="AB18" s="39">
        <v>1</v>
      </c>
      <c r="AC18" s="39" t="s">
        <v>5</v>
      </c>
    </row>
    <row r="19" spans="1:29" s="15" customFormat="1" x14ac:dyDescent="0.25">
      <c r="A19" s="11" t="s">
        <v>197</v>
      </c>
      <c r="B19" s="14">
        <f>7309695+379981+2744902</f>
        <v>10434578</v>
      </c>
      <c r="C19" s="14">
        <f>9131200</f>
        <v>9131200</v>
      </c>
      <c r="D19" s="14">
        <f>10519166</f>
        <v>10519166</v>
      </c>
      <c r="E19" s="14">
        <v>10192469</v>
      </c>
      <c r="F19" s="14">
        <v>379981</v>
      </c>
      <c r="G19" s="14">
        <v>318380</v>
      </c>
      <c r="H19" s="14">
        <v>341980</v>
      </c>
      <c r="I19" s="14">
        <v>80021</v>
      </c>
      <c r="J19" s="14"/>
      <c r="K19" s="60">
        <f t="shared" si="0"/>
        <v>-0.12490950760059483</v>
      </c>
      <c r="L19" s="60">
        <f t="shared" si="1"/>
        <v>0.15200258454529525</v>
      </c>
      <c r="M19" s="60">
        <f t="shared" si="13"/>
        <v>-3.1057310056709864E-2</v>
      </c>
      <c r="N19" s="60"/>
      <c r="O19" s="60">
        <f t="shared" si="14"/>
        <v>-0.16211600053686892</v>
      </c>
      <c r="P19" s="60">
        <f t="shared" si="3"/>
        <v>7.4125259124316889E-2</v>
      </c>
      <c r="Q19" s="60">
        <f t="shared" si="4"/>
        <v>-0.76600678402245748</v>
      </c>
      <c r="R19" s="60">
        <f t="shared" si="5"/>
        <v>3.6415559881770018E-2</v>
      </c>
      <c r="S19" s="60">
        <f t="shared" si="6"/>
        <v>3.486726826704048E-2</v>
      </c>
      <c r="T19" s="60">
        <f t="shared" si="7"/>
        <v>3.2510181890845716E-2</v>
      </c>
      <c r="U19" s="60">
        <f t="shared" si="8"/>
        <v>7.8509927280622591E-3</v>
      </c>
      <c r="V19" s="60">
        <f t="shared" si="9"/>
        <v>2.7816136056205993E-2</v>
      </c>
      <c r="W19" s="85">
        <f t="shared" si="10"/>
        <v>40277413</v>
      </c>
      <c r="X19" s="85">
        <f t="shared" si="11"/>
        <v>1120362</v>
      </c>
      <c r="Y19" s="44">
        <v>1998</v>
      </c>
      <c r="Z19" s="44">
        <f t="shared" si="12"/>
        <v>23</v>
      </c>
      <c r="AA19" s="44">
        <v>2</v>
      </c>
      <c r="AB19" s="44">
        <v>2</v>
      </c>
      <c r="AC19" s="44" t="s">
        <v>5</v>
      </c>
    </row>
    <row r="20" spans="1:29" s="15" customFormat="1" ht="30" x14ac:dyDescent="0.25">
      <c r="A20" s="11" t="s">
        <v>202</v>
      </c>
      <c r="B20" s="14">
        <f>18277336</f>
        <v>18277336</v>
      </c>
      <c r="C20" s="14">
        <f>17629526</f>
        <v>17629526</v>
      </c>
      <c r="D20" s="14">
        <f>26016396</f>
        <v>26016396</v>
      </c>
      <c r="E20" s="14">
        <f>46373460</f>
        <v>46373460</v>
      </c>
      <c r="F20" s="14">
        <v>460072</v>
      </c>
      <c r="G20" s="14">
        <v>501861</v>
      </c>
      <c r="H20" s="14">
        <v>480574</v>
      </c>
      <c r="I20" s="14">
        <v>581700</v>
      </c>
      <c r="J20" s="14"/>
      <c r="K20" s="60">
        <f t="shared" si="0"/>
        <v>-3.5443349074504082E-2</v>
      </c>
      <c r="L20" s="60">
        <f t="shared" si="1"/>
        <v>0.47572861573249337</v>
      </c>
      <c r="M20" s="60">
        <f t="shared" si="13"/>
        <v>0.78247056202557808</v>
      </c>
      <c r="N20" s="60"/>
      <c r="O20" s="60">
        <f t="shared" si="14"/>
        <v>9.0831435079726575E-2</v>
      </c>
      <c r="P20" s="60">
        <f t="shared" si="3"/>
        <v>-4.2416127174655927E-2</v>
      </c>
      <c r="Q20" s="60">
        <f t="shared" si="4"/>
        <v>0.21042753041154949</v>
      </c>
      <c r="R20" s="60">
        <f t="shared" si="5"/>
        <v>2.517172086785514E-2</v>
      </c>
      <c r="S20" s="60">
        <f t="shared" si="6"/>
        <v>2.8467072795944712E-2</v>
      </c>
      <c r="T20" s="60">
        <f t="shared" si="7"/>
        <v>1.8471966678243981E-2</v>
      </c>
      <c r="U20" s="60">
        <f t="shared" si="8"/>
        <v>1.2543812775669532E-2</v>
      </c>
      <c r="V20" s="60">
        <f t="shared" si="9"/>
        <v>1.8691305123392565E-2</v>
      </c>
      <c r="W20" s="85">
        <f t="shared" si="10"/>
        <v>108296718</v>
      </c>
      <c r="X20" s="85">
        <f t="shared" si="11"/>
        <v>2024207</v>
      </c>
      <c r="Y20" s="44">
        <v>1946</v>
      </c>
      <c r="Z20" s="44">
        <f t="shared" si="12"/>
        <v>75</v>
      </c>
      <c r="AA20" s="44">
        <v>1</v>
      </c>
      <c r="AB20" s="44">
        <v>2</v>
      </c>
      <c r="AC20" s="44" t="s">
        <v>5</v>
      </c>
    </row>
    <row r="21" spans="1:29" ht="30" x14ac:dyDescent="0.25">
      <c r="A21" s="4" t="s">
        <v>205</v>
      </c>
      <c r="B21" s="5">
        <f>29225000+425000</f>
        <v>29650000</v>
      </c>
      <c r="C21" s="5">
        <f>30960000+32000+233000</f>
        <v>31225000</v>
      </c>
      <c r="D21" s="5">
        <f>30659000+85000+374000</f>
        <v>31118000</v>
      </c>
      <c r="E21" s="5">
        <f>28857000+112000+218000</f>
        <v>29187000</v>
      </c>
      <c r="F21" s="5">
        <v>2122000</v>
      </c>
      <c r="G21" s="5">
        <v>405000</v>
      </c>
      <c r="H21" s="5">
        <v>508000</v>
      </c>
      <c r="I21" s="5">
        <v>492000</v>
      </c>
      <c r="J21" s="5"/>
      <c r="K21" s="60">
        <f t="shared" si="0"/>
        <v>5.3119730185497538E-2</v>
      </c>
      <c r="L21" s="60">
        <f t="shared" si="1"/>
        <v>-3.4267413931144963E-3</v>
      </c>
      <c r="M21" s="60">
        <f t="shared" si="13"/>
        <v>-6.205411658846971E-2</v>
      </c>
      <c r="N21" s="60"/>
      <c r="O21" s="60">
        <f t="shared" si="14"/>
        <v>-0.80914231856738927</v>
      </c>
      <c r="P21" s="60">
        <f t="shared" si="3"/>
        <v>0.2543209876543211</v>
      </c>
      <c r="Q21" s="60">
        <f t="shared" si="4"/>
        <v>-3.1496062992126039E-2</v>
      </c>
      <c r="R21" s="60">
        <f t="shared" si="5"/>
        <v>7.1568296795952779E-2</v>
      </c>
      <c r="S21" s="60">
        <f t="shared" si="6"/>
        <v>1.2970376301040833E-2</v>
      </c>
      <c r="T21" s="60">
        <f t="shared" si="7"/>
        <v>1.632495661674915E-2</v>
      </c>
      <c r="U21" s="60">
        <f t="shared" si="8"/>
        <v>1.6856819817041832E-2</v>
      </c>
      <c r="V21" s="60">
        <f t="shared" si="9"/>
        <v>2.9105462947681137E-2</v>
      </c>
      <c r="W21" s="85">
        <f t="shared" si="10"/>
        <v>121180000</v>
      </c>
      <c r="X21" s="85">
        <f t="shared" si="11"/>
        <v>3527000</v>
      </c>
      <c r="Y21" s="39">
        <v>2008</v>
      </c>
      <c r="Z21" s="39">
        <f t="shared" si="12"/>
        <v>13</v>
      </c>
      <c r="AA21" s="39">
        <v>4</v>
      </c>
      <c r="AB21" s="39">
        <v>2</v>
      </c>
      <c r="AC21" s="39" t="s">
        <v>147</v>
      </c>
    </row>
    <row r="22" spans="1:29" x14ac:dyDescent="0.25">
      <c r="A22" s="4" t="s">
        <v>208</v>
      </c>
      <c r="B22" s="5">
        <f>30397021</f>
        <v>30397021</v>
      </c>
      <c r="C22" s="5">
        <f>31881810</f>
        <v>31881810</v>
      </c>
      <c r="D22" s="5">
        <f>29045622</f>
        <v>29045622</v>
      </c>
      <c r="E22" s="5">
        <f>30813824</f>
        <v>30813824</v>
      </c>
      <c r="F22" s="5">
        <v>658743</v>
      </c>
      <c r="G22" s="5">
        <v>449270</v>
      </c>
      <c r="H22" s="5">
        <v>684038</v>
      </c>
      <c r="I22" s="5">
        <v>668591</v>
      </c>
      <c r="J22" s="5"/>
      <c r="K22" s="60">
        <f t="shared" si="0"/>
        <v>4.8846530059639681E-2</v>
      </c>
      <c r="L22" s="60">
        <f t="shared" si="1"/>
        <v>-8.8959441135870287E-2</v>
      </c>
      <c r="M22" s="60">
        <f t="shared" si="13"/>
        <v>6.0876713192783427E-2</v>
      </c>
      <c r="N22" s="60"/>
      <c r="O22" s="60">
        <f t="shared" si="14"/>
        <v>-0.31798895775742586</v>
      </c>
      <c r="P22" s="60">
        <f t="shared" si="3"/>
        <v>0.52255436597146487</v>
      </c>
      <c r="Q22" s="60">
        <f t="shared" si="4"/>
        <v>-2.2582078773401459E-2</v>
      </c>
      <c r="R22" s="60">
        <f t="shared" si="5"/>
        <v>2.1671301276529695E-2</v>
      </c>
      <c r="S22" s="60">
        <f t="shared" si="6"/>
        <v>1.4091734440422297E-2</v>
      </c>
      <c r="T22" s="60">
        <f t="shared" si="7"/>
        <v>2.3550468294326766E-2</v>
      </c>
      <c r="U22" s="60">
        <f t="shared" si="8"/>
        <v>2.1697761368403998E-2</v>
      </c>
      <c r="V22" s="60">
        <f t="shared" si="9"/>
        <v>2.0146362470792017E-2</v>
      </c>
      <c r="W22" s="85">
        <f t="shared" si="10"/>
        <v>122138277</v>
      </c>
      <c r="X22" s="85">
        <f t="shared" si="11"/>
        <v>2460642</v>
      </c>
      <c r="Y22" s="39">
        <v>1990</v>
      </c>
      <c r="Z22" s="39">
        <f t="shared" si="12"/>
        <v>31</v>
      </c>
      <c r="AA22" s="39">
        <v>1</v>
      </c>
      <c r="AB22" s="39">
        <v>2</v>
      </c>
      <c r="AC22" s="39" t="s">
        <v>5</v>
      </c>
    </row>
    <row r="23" spans="1:29" ht="30" x14ac:dyDescent="0.25">
      <c r="A23" s="4" t="s">
        <v>217</v>
      </c>
      <c r="B23" s="5">
        <f>23631000+706000+84000+11000+111000+64000</f>
        <v>24607000</v>
      </c>
      <c r="C23" s="5">
        <f>23716000+723000+82000+34000+183000</f>
        <v>24738000</v>
      </c>
      <c r="D23" s="5">
        <f>26542000+824000+377000+67000+129000+1270000+14000</f>
        <v>29223000</v>
      </c>
      <c r="E23" s="5">
        <f>32750000+850000+677000+28000+114000</f>
        <v>34419000</v>
      </c>
      <c r="F23" s="5">
        <v>36000</v>
      </c>
      <c r="G23" s="5">
        <v>50000</v>
      </c>
      <c r="H23" s="5">
        <v>39000</v>
      </c>
      <c r="I23" s="5">
        <v>18000</v>
      </c>
      <c r="J23" s="5"/>
      <c r="K23" s="60">
        <f t="shared" si="0"/>
        <v>5.3236883813549962E-3</v>
      </c>
      <c r="L23" s="60">
        <f t="shared" si="1"/>
        <v>0.18130002425418379</v>
      </c>
      <c r="M23" s="60">
        <f t="shared" si="13"/>
        <v>0.17780515347500248</v>
      </c>
      <c r="N23" s="60"/>
      <c r="O23" s="60">
        <f t="shared" si="14"/>
        <v>0.38888888888888884</v>
      </c>
      <c r="P23" s="60">
        <f t="shared" si="3"/>
        <v>-0.21999999999999997</v>
      </c>
      <c r="Q23" s="60">
        <f t="shared" si="4"/>
        <v>-0.53846153846153844</v>
      </c>
      <c r="R23" s="60">
        <f t="shared" si="5"/>
        <v>1.4629983338074531E-3</v>
      </c>
      <c r="S23" s="60">
        <f t="shared" si="6"/>
        <v>2.0211819872261298E-3</v>
      </c>
      <c r="T23" s="60">
        <f t="shared" si="7"/>
        <v>1.3345652397084489E-3</v>
      </c>
      <c r="U23" s="60">
        <f t="shared" si="8"/>
        <v>5.2296696591998607E-4</v>
      </c>
      <c r="V23" s="60">
        <f t="shared" si="9"/>
        <v>1.2656323293830263E-3</v>
      </c>
      <c r="W23" s="85">
        <f t="shared" si="10"/>
        <v>112987000</v>
      </c>
      <c r="X23" s="85">
        <f t="shared" si="11"/>
        <v>143000</v>
      </c>
      <c r="Y23" s="39">
        <v>1966</v>
      </c>
      <c r="Z23" s="39">
        <f t="shared" si="12"/>
        <v>55</v>
      </c>
      <c r="AA23" s="39">
        <v>1</v>
      </c>
      <c r="AB23" s="39">
        <v>1</v>
      </c>
      <c r="AC23" s="39" t="s">
        <v>17</v>
      </c>
    </row>
    <row r="24" spans="1:29" s="15" customFormat="1" x14ac:dyDescent="0.25">
      <c r="A24" s="11" t="s">
        <v>233</v>
      </c>
      <c r="B24" s="14">
        <v>8957357.7899999991</v>
      </c>
      <c r="C24" s="14">
        <v>8380595.3200000003</v>
      </c>
      <c r="D24" s="14">
        <f>9234650.82-47895.71</f>
        <v>9186755.1099999994</v>
      </c>
      <c r="E24" s="14">
        <f>10746594.01-13970.64</f>
        <v>10732623.369999999</v>
      </c>
      <c r="F24" s="14">
        <v>691580</v>
      </c>
      <c r="G24" s="14">
        <v>136290</v>
      </c>
      <c r="H24" s="14">
        <v>422415</v>
      </c>
      <c r="I24" s="14">
        <v>46955</v>
      </c>
      <c r="J24" s="14"/>
      <c r="K24" s="60">
        <f t="shared" si="0"/>
        <v>-6.4389799260212266E-2</v>
      </c>
      <c r="L24" s="60">
        <f t="shared" si="1"/>
        <v>9.6193618617537391E-2</v>
      </c>
      <c r="M24" s="60">
        <f t="shared" si="13"/>
        <v>0.16827141264680989</v>
      </c>
      <c r="N24" s="60"/>
      <c r="O24" s="60">
        <f t="shared" si="14"/>
        <v>-0.80292952369935511</v>
      </c>
      <c r="P24" s="60">
        <f t="shared" si="3"/>
        <v>2.0993836671802772</v>
      </c>
      <c r="Q24" s="60">
        <f t="shared" si="4"/>
        <v>-0.8888415420853899</v>
      </c>
      <c r="R24" s="60">
        <f t="shared" si="5"/>
        <v>7.7208035696874858E-2</v>
      </c>
      <c r="S24" s="60">
        <f t="shared" si="6"/>
        <v>1.6262567848222984E-2</v>
      </c>
      <c r="T24" s="60">
        <f t="shared" si="7"/>
        <v>4.5980870823495806E-2</v>
      </c>
      <c r="U24" s="60">
        <f t="shared" si="8"/>
        <v>4.3749788268215364E-3</v>
      </c>
      <c r="V24" s="60">
        <f t="shared" si="9"/>
        <v>3.4818381903340176E-2</v>
      </c>
      <c r="W24" s="85">
        <f t="shared" si="10"/>
        <v>37257331.589999996</v>
      </c>
      <c r="X24" s="85">
        <f t="shared" si="11"/>
        <v>1297240</v>
      </c>
      <c r="Y24" s="44">
        <v>1994</v>
      </c>
      <c r="Z24" s="44">
        <f t="shared" si="12"/>
        <v>27</v>
      </c>
      <c r="AA24" s="44">
        <v>1</v>
      </c>
      <c r="AB24" s="44">
        <v>1</v>
      </c>
      <c r="AC24" s="44" t="s">
        <v>5</v>
      </c>
    </row>
    <row r="25" spans="1:29" x14ac:dyDescent="0.25">
      <c r="A25" s="4" t="s">
        <v>248</v>
      </c>
      <c r="B25" s="5">
        <f>1037171+750595+641230+7882+20662</f>
        <v>2457540</v>
      </c>
      <c r="C25" s="5">
        <f>2441803+745071+1368977+33869+44306</f>
        <v>4634026</v>
      </c>
      <c r="D25" s="5">
        <f>2310770+2271602+1296627+3026+147779</f>
        <v>6029804</v>
      </c>
      <c r="E25" s="5">
        <f>1666983+2592705+1113597+1716+50689</f>
        <v>5425690</v>
      </c>
      <c r="F25" s="5">
        <v>405862</v>
      </c>
      <c r="G25" s="5">
        <v>875010</v>
      </c>
      <c r="H25" s="5">
        <v>364570</v>
      </c>
      <c r="I25" s="5">
        <v>504617</v>
      </c>
      <c r="J25" s="5"/>
      <c r="K25" s="60">
        <f t="shared" si="0"/>
        <v>0.88563604254661166</v>
      </c>
      <c r="L25" s="60">
        <f t="shared" si="1"/>
        <v>0.30120202174092237</v>
      </c>
      <c r="M25" s="60">
        <f t="shared" si="13"/>
        <v>-0.10018799947726331</v>
      </c>
      <c r="N25" s="60"/>
      <c r="O25" s="60">
        <f t="shared" si="14"/>
        <v>1.1559298480764397</v>
      </c>
      <c r="P25" s="60">
        <f t="shared" si="3"/>
        <v>-0.58335333310476445</v>
      </c>
      <c r="Q25" s="60">
        <f t="shared" si="4"/>
        <v>0.38414296294264472</v>
      </c>
      <c r="R25" s="60">
        <f t="shared" si="5"/>
        <v>0.16514970254807654</v>
      </c>
      <c r="S25" s="60">
        <f t="shared" si="6"/>
        <v>0.18882285079971498</v>
      </c>
      <c r="T25" s="60">
        <f t="shared" si="7"/>
        <v>6.0461335061637159E-2</v>
      </c>
      <c r="U25" s="60">
        <f t="shared" si="8"/>
        <v>9.3005129301526629E-2</v>
      </c>
      <c r="V25" s="60">
        <f t="shared" si="9"/>
        <v>0.11592451849511459</v>
      </c>
      <c r="W25" s="85">
        <f t="shared" si="10"/>
        <v>18547060</v>
      </c>
      <c r="X25" s="85">
        <f t="shared" si="11"/>
        <v>2150059</v>
      </c>
      <c r="Y25" s="39">
        <v>2001</v>
      </c>
      <c r="Z25" s="39">
        <f t="shared" si="12"/>
        <v>20</v>
      </c>
      <c r="AA25" s="39">
        <v>2</v>
      </c>
      <c r="AB25" s="39">
        <v>1</v>
      </c>
      <c r="AC25" s="39" t="s">
        <v>5</v>
      </c>
    </row>
    <row r="26" spans="1:29" ht="45" x14ac:dyDescent="0.25">
      <c r="A26" s="4" t="s">
        <v>258</v>
      </c>
      <c r="B26" s="5">
        <v>11942958</v>
      </c>
      <c r="C26" s="5">
        <v>14266344</v>
      </c>
      <c r="D26" s="5">
        <v>16427062</v>
      </c>
      <c r="E26" s="5">
        <v>11685911</v>
      </c>
      <c r="F26" s="5">
        <v>37176</v>
      </c>
      <c r="G26" s="5">
        <v>633205</v>
      </c>
      <c r="H26" s="5">
        <v>533253</v>
      </c>
      <c r="I26" s="5">
        <v>115206</v>
      </c>
      <c r="J26" s="5"/>
      <c r="K26" s="60">
        <f t="shared" si="0"/>
        <v>0.19454024706442063</v>
      </c>
      <c r="L26" s="60">
        <f t="shared" si="1"/>
        <v>0.15145562170658433</v>
      </c>
      <c r="M26" s="60">
        <f t="shared" si="13"/>
        <v>-0.28861831774908986</v>
      </c>
      <c r="N26" s="60"/>
      <c r="O26" s="60">
        <f t="shared" si="14"/>
        <v>16.032628577576933</v>
      </c>
      <c r="P26" s="60">
        <f t="shared" si="3"/>
        <v>-0.15785093295220343</v>
      </c>
      <c r="Q26" s="60">
        <f t="shared" si="4"/>
        <v>-0.7839562084038908</v>
      </c>
      <c r="R26" s="60">
        <f t="shared" si="5"/>
        <v>3.1127966790136918E-3</v>
      </c>
      <c r="S26" s="60">
        <f t="shared" si="6"/>
        <v>4.4384531874459218E-2</v>
      </c>
      <c r="T26" s="60">
        <f t="shared" si="7"/>
        <v>3.2461860800184476E-2</v>
      </c>
      <c r="U26" s="60">
        <f t="shared" si="8"/>
        <v>9.8585382004021758E-3</v>
      </c>
      <c r="V26" s="60">
        <f t="shared" si="9"/>
        <v>2.4278070091872994E-2</v>
      </c>
      <c r="W26" s="85">
        <f t="shared" si="10"/>
        <v>54322275</v>
      </c>
      <c r="X26" s="85">
        <f t="shared" si="11"/>
        <v>1318840</v>
      </c>
      <c r="Y26" s="39">
        <v>1998</v>
      </c>
      <c r="Z26" s="39">
        <f t="shared" si="12"/>
        <v>23</v>
      </c>
      <c r="AA26" s="39">
        <v>3</v>
      </c>
      <c r="AB26" s="39">
        <v>1</v>
      </c>
      <c r="AC26" s="39" t="s">
        <v>5</v>
      </c>
    </row>
    <row r="27" spans="1:29" ht="30" x14ac:dyDescent="0.25">
      <c r="A27" s="4" t="s">
        <v>261</v>
      </c>
      <c r="B27" s="5">
        <f>10046091+27891+303242</f>
        <v>10377224</v>
      </c>
      <c r="C27" s="5">
        <f>10055370+10115+221252</f>
        <v>10286737</v>
      </c>
      <c r="D27" s="5">
        <f>9852209+293518+202675</f>
        <v>10348402</v>
      </c>
      <c r="E27" s="5">
        <f>8949978+52321+89636</f>
        <v>9091935</v>
      </c>
      <c r="F27" s="5">
        <v>510860</v>
      </c>
      <c r="G27" s="5">
        <v>527197</v>
      </c>
      <c r="H27" s="5">
        <v>569440</v>
      </c>
      <c r="I27" s="5">
        <v>604776</v>
      </c>
      <c r="J27" s="5"/>
      <c r="K27" s="60">
        <f t="shared" si="0"/>
        <v>-8.7197693718473746E-3</v>
      </c>
      <c r="L27" s="60">
        <f t="shared" si="1"/>
        <v>5.9946122857035267E-3</v>
      </c>
      <c r="M27" s="60">
        <f t="shared" si="13"/>
        <v>-0.12141652401984382</v>
      </c>
      <c r="N27" s="60"/>
      <c r="O27" s="60">
        <f t="shared" si="14"/>
        <v>3.1979407274008498E-2</v>
      </c>
      <c r="P27" s="60">
        <f t="shared" si="3"/>
        <v>8.0127542455666445E-2</v>
      </c>
      <c r="Q27" s="60">
        <f t="shared" si="4"/>
        <v>6.2053947738128779E-2</v>
      </c>
      <c r="R27" s="60">
        <f t="shared" si="5"/>
        <v>4.9228965280117304E-2</v>
      </c>
      <c r="S27" s="60">
        <f t="shared" si="6"/>
        <v>5.1250168056206746E-2</v>
      </c>
      <c r="T27" s="60">
        <f t="shared" si="7"/>
        <v>5.5026853421426804E-2</v>
      </c>
      <c r="U27" s="60">
        <f t="shared" si="8"/>
        <v>6.6517853460237017E-2</v>
      </c>
      <c r="V27" s="60">
        <f t="shared" si="9"/>
        <v>5.5162990261043841E-2</v>
      </c>
      <c r="W27" s="85">
        <f t="shared" si="10"/>
        <v>40104298</v>
      </c>
      <c r="X27" s="85">
        <f t="shared" si="11"/>
        <v>2212273</v>
      </c>
      <c r="Y27" s="39">
        <v>1964</v>
      </c>
      <c r="Z27" s="39">
        <f t="shared" si="12"/>
        <v>57</v>
      </c>
      <c r="AA27" s="39">
        <v>3</v>
      </c>
      <c r="AB27" s="39">
        <v>1</v>
      </c>
      <c r="AC27" s="39" t="s">
        <v>17</v>
      </c>
    </row>
    <row r="28" spans="1:29" s="15" customFormat="1" ht="30" x14ac:dyDescent="0.25">
      <c r="A28" s="11" t="s">
        <v>270</v>
      </c>
      <c r="B28" s="14">
        <f>1367145+33008</f>
        <v>1400153</v>
      </c>
      <c r="C28" s="14">
        <f>1347909+4811</f>
        <v>1352720</v>
      </c>
      <c r="D28" s="14">
        <f>1490854+5463</f>
        <v>1496317</v>
      </c>
      <c r="E28" s="14">
        <f>2144018+11759</f>
        <v>2155777</v>
      </c>
      <c r="F28" s="14">
        <v>130536</v>
      </c>
      <c r="G28" s="14">
        <v>153373</v>
      </c>
      <c r="H28" s="14">
        <v>234484</v>
      </c>
      <c r="I28" s="14">
        <v>201104</v>
      </c>
      <c r="J28" s="14"/>
      <c r="K28" s="60">
        <f t="shared" si="0"/>
        <v>-3.3877012012258678E-2</v>
      </c>
      <c r="L28" s="60">
        <f t="shared" si="1"/>
        <v>0.10615426695842456</v>
      </c>
      <c r="M28" s="60">
        <f t="shared" si="13"/>
        <v>0.44072211971126429</v>
      </c>
      <c r="N28" s="60"/>
      <c r="O28" s="60">
        <f t="shared" si="14"/>
        <v>0.17494790709076424</v>
      </c>
      <c r="P28" s="60">
        <f t="shared" si="3"/>
        <v>0.52884797193769439</v>
      </c>
      <c r="Q28" s="60">
        <f t="shared" si="4"/>
        <v>-0.14235512870814215</v>
      </c>
      <c r="R28" s="60">
        <f t="shared" si="5"/>
        <v>9.3229811313477878E-2</v>
      </c>
      <c r="S28" s="60">
        <f t="shared" si="6"/>
        <v>0.11338118753326631</v>
      </c>
      <c r="T28" s="60">
        <f t="shared" si="7"/>
        <v>0.15670743565701653</v>
      </c>
      <c r="U28" s="60">
        <f t="shared" si="8"/>
        <v>9.3286086640686855E-2</v>
      </c>
      <c r="V28" s="60">
        <f t="shared" si="9"/>
        <v>0.11233422436056267</v>
      </c>
      <c r="W28" s="85">
        <f t="shared" si="10"/>
        <v>6404967</v>
      </c>
      <c r="X28" s="85">
        <f t="shared" si="11"/>
        <v>719497</v>
      </c>
      <c r="Y28" s="39">
        <v>1999</v>
      </c>
      <c r="Z28" s="39">
        <f t="shared" ref="Z28:Z33" si="15">2021-Y28</f>
        <v>22</v>
      </c>
      <c r="AA28" s="39">
        <v>3</v>
      </c>
      <c r="AB28" s="39">
        <v>1</v>
      </c>
      <c r="AC28" s="39" t="s">
        <v>5</v>
      </c>
    </row>
    <row r="29" spans="1:29" ht="45" x14ac:dyDescent="0.25">
      <c r="A29" s="4" t="s">
        <v>295</v>
      </c>
      <c r="B29" s="5">
        <f>18431929.71</f>
        <v>18431929.710000001</v>
      </c>
      <c r="C29" s="5">
        <v>19205708.149999999</v>
      </c>
      <c r="D29" s="5">
        <v>27337875.350000001</v>
      </c>
      <c r="E29" s="5">
        <v>21102528.09</v>
      </c>
      <c r="F29" s="5">
        <v>261871.28</v>
      </c>
      <c r="G29" s="5">
        <v>296830.99</v>
      </c>
      <c r="H29" s="5">
        <v>341797.96</v>
      </c>
      <c r="I29" s="5">
        <v>79430.36</v>
      </c>
      <c r="J29" s="5"/>
      <c r="K29" s="60">
        <f t="shared" si="0"/>
        <v>4.1980327191688094E-2</v>
      </c>
      <c r="L29" s="60">
        <f t="shared" si="1"/>
        <v>0.4234244911193239</v>
      </c>
      <c r="M29" s="60">
        <f t="shared" si="13"/>
        <v>-0.22808455961446916</v>
      </c>
      <c r="N29" s="60"/>
      <c r="O29" s="60">
        <f t="shared" si="14"/>
        <v>0.13349959567922065</v>
      </c>
      <c r="P29" s="60">
        <f t="shared" si="3"/>
        <v>0.15149014595814281</v>
      </c>
      <c r="Q29" s="60">
        <f t="shared" si="4"/>
        <v>-0.76761019872675662</v>
      </c>
      <c r="R29" s="60">
        <f t="shared" si="5"/>
        <v>1.4207480395171276E-2</v>
      </c>
      <c r="S29" s="60">
        <f t="shared" si="6"/>
        <v>1.5455352527576549E-2</v>
      </c>
      <c r="T29" s="60">
        <f t="shared" si="7"/>
        <v>1.2502725819912703E-2</v>
      </c>
      <c r="U29" s="60">
        <f t="shared" si="8"/>
        <v>3.7640210528917723E-3</v>
      </c>
      <c r="V29" s="60">
        <f t="shared" si="9"/>
        <v>1.1384211062432713E-2</v>
      </c>
      <c r="W29" s="85">
        <f t="shared" si="10"/>
        <v>86078041.299999997</v>
      </c>
      <c r="X29" s="85">
        <f t="shared" si="11"/>
        <v>979930.59</v>
      </c>
      <c r="Y29" s="39">
        <v>1969</v>
      </c>
      <c r="Z29" s="39">
        <f t="shared" si="15"/>
        <v>52</v>
      </c>
      <c r="AA29" s="39">
        <v>3</v>
      </c>
      <c r="AB29" s="39">
        <v>1</v>
      </c>
      <c r="AC29" s="39" t="s">
        <v>297</v>
      </c>
    </row>
    <row r="30" spans="1:29" ht="45" x14ac:dyDescent="0.25">
      <c r="A30" s="4" t="s">
        <v>300</v>
      </c>
      <c r="B30" s="5">
        <f>23241076+7356472+966657</f>
        <v>31564205</v>
      </c>
      <c r="C30" s="5">
        <f>32179719+11113476+432052</f>
        <v>43725247</v>
      </c>
      <c r="D30" s="5">
        <f>38641510+17628490+529314</f>
        <v>56799314</v>
      </c>
      <c r="E30" s="5">
        <f>61279632+15668641+361206</f>
        <v>77309479</v>
      </c>
      <c r="F30" s="5">
        <v>1856190</v>
      </c>
      <c r="G30" s="5">
        <v>2183105</v>
      </c>
      <c r="H30" s="5">
        <v>2230268</v>
      </c>
      <c r="I30" s="5">
        <v>1469136</v>
      </c>
      <c r="J30" s="5"/>
      <c r="K30" s="60">
        <f t="shared" si="0"/>
        <v>0.38527952787025677</v>
      </c>
      <c r="L30" s="60">
        <f t="shared" si="1"/>
        <v>0.29900498903985606</v>
      </c>
      <c r="M30" s="60">
        <f t="shared" si="13"/>
        <v>0.36109881538358013</v>
      </c>
      <c r="N30" s="60"/>
      <c r="O30" s="60">
        <f t="shared" si="14"/>
        <v>0.17612151773255968</v>
      </c>
      <c r="P30" s="60">
        <f t="shared" si="3"/>
        <v>2.1603633357076379E-2</v>
      </c>
      <c r="Q30" s="60">
        <f t="shared" si="4"/>
        <v>-0.34127378413715304</v>
      </c>
      <c r="R30" s="60">
        <f t="shared" si="5"/>
        <v>5.880680346614147E-2</v>
      </c>
      <c r="S30" s="60">
        <f t="shared" si="6"/>
        <v>4.992779114546797E-2</v>
      </c>
      <c r="T30" s="60">
        <f t="shared" si="7"/>
        <v>3.9265755920925384E-2</v>
      </c>
      <c r="U30" s="60">
        <f t="shared" si="8"/>
        <v>1.9003310059818149E-2</v>
      </c>
      <c r="V30" s="60">
        <f t="shared" si="9"/>
        <v>3.6956847465459894E-2</v>
      </c>
      <c r="W30" s="85">
        <f t="shared" si="10"/>
        <v>209398245</v>
      </c>
      <c r="X30" s="85">
        <f t="shared" si="11"/>
        <v>7738699</v>
      </c>
      <c r="Y30" s="39">
        <v>2002</v>
      </c>
      <c r="Z30" s="39">
        <f t="shared" si="15"/>
        <v>19</v>
      </c>
      <c r="AA30" s="39">
        <v>1</v>
      </c>
      <c r="AB30" s="39">
        <v>1</v>
      </c>
      <c r="AC30" s="39" t="s">
        <v>5</v>
      </c>
    </row>
    <row r="31" spans="1:29" x14ac:dyDescent="0.25">
      <c r="A31" s="4" t="s">
        <v>304</v>
      </c>
      <c r="B31" s="5">
        <f>49662161+106166</f>
        <v>49768327</v>
      </c>
      <c r="C31" s="5">
        <f>54094280+385998</f>
        <v>54480278</v>
      </c>
      <c r="D31" s="5">
        <f>56572256+509952</f>
        <v>57082208</v>
      </c>
      <c r="E31" s="5">
        <f>66960148+280822</f>
        <v>67240970</v>
      </c>
      <c r="F31" s="5">
        <v>205448</v>
      </c>
      <c r="G31" s="5">
        <v>501067</v>
      </c>
      <c r="H31" s="5">
        <v>692600</v>
      </c>
      <c r="I31" s="5">
        <v>721897</v>
      </c>
      <c r="J31" s="5"/>
      <c r="K31" s="60">
        <f t="shared" si="0"/>
        <v>9.4677705360680431E-2</v>
      </c>
      <c r="L31" s="60">
        <f t="shared" si="1"/>
        <v>4.7759117528732187E-2</v>
      </c>
      <c r="M31" s="60">
        <f t="shared" si="13"/>
        <v>0.17796722229105089</v>
      </c>
      <c r="N31" s="60"/>
      <c r="O31" s="60">
        <f t="shared" si="14"/>
        <v>1.4388993808652311</v>
      </c>
      <c r="P31" s="60">
        <f t="shared" si="3"/>
        <v>0.38225027790694655</v>
      </c>
      <c r="Q31" s="60">
        <f t="shared" si="4"/>
        <v>4.2300028876696594E-2</v>
      </c>
      <c r="R31" s="60">
        <f t="shared" si="5"/>
        <v>4.1280873275085176E-3</v>
      </c>
      <c r="S31" s="60">
        <f t="shared" si="6"/>
        <v>9.1972181199222215E-3</v>
      </c>
      <c r="T31" s="60">
        <f t="shared" si="7"/>
        <v>1.2133377881948786E-2</v>
      </c>
      <c r="U31" s="60">
        <f t="shared" si="8"/>
        <v>1.0735969454337141E-2</v>
      </c>
      <c r="V31" s="60">
        <f t="shared" si="9"/>
        <v>9.279413111110045E-3</v>
      </c>
      <c r="W31" s="85">
        <f t="shared" si="10"/>
        <v>228571783</v>
      </c>
      <c r="X31" s="85">
        <f t="shared" si="11"/>
        <v>2121012</v>
      </c>
      <c r="Y31" s="39">
        <v>1967</v>
      </c>
      <c r="Z31" s="39">
        <f t="shared" si="15"/>
        <v>54</v>
      </c>
      <c r="AA31" s="39">
        <v>1</v>
      </c>
      <c r="AB31" s="39">
        <v>1</v>
      </c>
      <c r="AC31" s="39" t="s">
        <v>5</v>
      </c>
    </row>
    <row r="32" spans="1:29" ht="30" x14ac:dyDescent="0.25">
      <c r="A32" s="4" t="s">
        <v>311</v>
      </c>
      <c r="B32" s="5">
        <f>15406000+230000</f>
        <v>15636000</v>
      </c>
      <c r="C32" s="5">
        <f>16140000+174000</f>
        <v>16314000</v>
      </c>
      <c r="D32" s="5">
        <f>19325000+257000</f>
        <v>19582000</v>
      </c>
      <c r="E32" s="5">
        <f>15315000+143000</f>
        <v>15458000</v>
      </c>
      <c r="F32" s="5">
        <v>526000</v>
      </c>
      <c r="G32" s="5">
        <v>444000</v>
      </c>
      <c r="H32" s="5">
        <v>398000</v>
      </c>
      <c r="I32" s="5">
        <v>302000</v>
      </c>
      <c r="J32" s="5"/>
      <c r="K32" s="60">
        <f t="shared" si="0"/>
        <v>4.3361473522639971E-2</v>
      </c>
      <c r="L32" s="60">
        <f t="shared" si="1"/>
        <v>0.20031874463650845</v>
      </c>
      <c r="M32" s="60">
        <f t="shared" si="13"/>
        <v>-0.21060157287304671</v>
      </c>
      <c r="N32" s="60"/>
      <c r="O32" s="60">
        <f t="shared" si="14"/>
        <v>-0.155893536121673</v>
      </c>
      <c r="P32" s="60">
        <f t="shared" si="3"/>
        <v>-0.10360360360360366</v>
      </c>
      <c r="Q32" s="60">
        <f t="shared" si="4"/>
        <v>-0.24120603015075381</v>
      </c>
      <c r="R32" s="60">
        <f t="shared" si="5"/>
        <v>3.3640317216679455E-2</v>
      </c>
      <c r="S32" s="60">
        <f t="shared" si="6"/>
        <v>2.721588819418904E-2</v>
      </c>
      <c r="T32" s="60">
        <f t="shared" si="7"/>
        <v>2.0324788070677152E-2</v>
      </c>
      <c r="U32" s="60">
        <f t="shared" si="8"/>
        <v>1.953680941907103E-2</v>
      </c>
      <c r="V32" s="60">
        <f t="shared" si="9"/>
        <v>2.4929093894611135E-2</v>
      </c>
      <c r="W32" s="85">
        <f t="shared" si="10"/>
        <v>66990000</v>
      </c>
      <c r="X32" s="85">
        <f t="shared" si="11"/>
        <v>1670000</v>
      </c>
      <c r="Y32" s="39">
        <v>1967</v>
      </c>
      <c r="Z32" s="39">
        <f t="shared" si="15"/>
        <v>54</v>
      </c>
      <c r="AA32" s="39">
        <v>1</v>
      </c>
      <c r="AB32" s="39">
        <v>1</v>
      </c>
      <c r="AC32" s="39" t="s">
        <v>5</v>
      </c>
    </row>
    <row r="33" spans="1:29" s="91" customFormat="1" ht="60" x14ac:dyDescent="0.25">
      <c r="A33" s="86" t="s">
        <v>316</v>
      </c>
      <c r="B33" s="87">
        <f>2774994</f>
        <v>2774994</v>
      </c>
      <c r="C33" s="87">
        <v>3076184</v>
      </c>
      <c r="D33" s="87">
        <f>3634734+22182</f>
        <v>3656916</v>
      </c>
      <c r="E33" s="87">
        <f>4008178+10141</f>
        <v>4018319</v>
      </c>
      <c r="F33" s="87">
        <v>153000</v>
      </c>
      <c r="G33" s="87">
        <v>657140</v>
      </c>
      <c r="H33" s="87">
        <v>785134</v>
      </c>
      <c r="I33" s="87">
        <v>944368</v>
      </c>
      <c r="J33" s="87"/>
      <c r="K33" s="88">
        <f t="shared" si="0"/>
        <v>0.10853717161190257</v>
      </c>
      <c r="L33" s="88">
        <f t="shared" si="1"/>
        <v>0.18878324573562577</v>
      </c>
      <c r="M33" s="88">
        <f t="shared" si="13"/>
        <v>9.8827263191169745E-2</v>
      </c>
      <c r="N33" s="88"/>
      <c r="O33" s="88">
        <f t="shared" si="14"/>
        <v>3.2950326797385623</v>
      </c>
      <c r="P33" s="88">
        <f t="shared" si="3"/>
        <v>0.19477432510576143</v>
      </c>
      <c r="Q33" s="88">
        <f t="shared" si="4"/>
        <v>0.20281123986478744</v>
      </c>
      <c r="R33" s="88">
        <f t="shared" si="5"/>
        <v>5.5135254346495882E-2</v>
      </c>
      <c r="S33" s="88">
        <f t="shared" si="6"/>
        <v>0.2136218119592326</v>
      </c>
      <c r="T33" s="88">
        <f t="shared" si="7"/>
        <v>0.21469839613488526</v>
      </c>
      <c r="U33" s="88">
        <f t="shared" si="8"/>
        <v>0.23501568690788363</v>
      </c>
      <c r="V33" s="88">
        <f t="shared" si="9"/>
        <v>0.18775428489430274</v>
      </c>
      <c r="W33" s="89">
        <f t="shared" si="10"/>
        <v>13526413</v>
      </c>
      <c r="X33" s="89">
        <f t="shared" si="11"/>
        <v>2539642</v>
      </c>
      <c r="Y33" s="90">
        <v>2000</v>
      </c>
      <c r="Z33" s="90">
        <f t="shared" si="15"/>
        <v>21</v>
      </c>
      <c r="AA33" s="90">
        <v>1</v>
      </c>
      <c r="AB33" s="90">
        <v>1</v>
      </c>
      <c r="AC33" s="90" t="s">
        <v>5</v>
      </c>
    </row>
    <row r="34" spans="1:29" x14ac:dyDescent="0.25">
      <c r="A34" s="4"/>
      <c r="B34" s="5">
        <f t="shared" ref="B34:I34" si="16">SUM(B2:B33)</f>
        <v>773144957.22000003</v>
      </c>
      <c r="C34" s="5">
        <f t="shared" si="16"/>
        <v>813393815.86000001</v>
      </c>
      <c r="D34" s="5">
        <f t="shared" si="16"/>
        <v>897223668.06000006</v>
      </c>
      <c r="E34" s="5">
        <f t="shared" si="16"/>
        <v>893893953.18000007</v>
      </c>
      <c r="F34" s="5">
        <f t="shared" si="16"/>
        <v>16222953.399999999</v>
      </c>
      <c r="G34" s="5">
        <f t="shared" si="16"/>
        <v>15886982.1</v>
      </c>
      <c r="H34" s="5">
        <f t="shared" si="16"/>
        <v>25649496.030000001</v>
      </c>
      <c r="I34" s="5">
        <f t="shared" si="16"/>
        <v>12572852.18</v>
      </c>
      <c r="J34" s="5"/>
      <c r="K34" s="61">
        <f t="shared" ref="K34:U34" si="17">AVERAGE(K2:K33)</f>
        <v>0.12897834687288473</v>
      </c>
      <c r="L34" s="61">
        <f t="shared" si="17"/>
        <v>0.1690573796610759</v>
      </c>
      <c r="M34" s="61">
        <f t="shared" si="17"/>
        <v>1.4241243447720146E-2</v>
      </c>
      <c r="N34" s="61" t="e">
        <f t="shared" si="17"/>
        <v>#DIV/0!</v>
      </c>
      <c r="O34" s="61">
        <f t="shared" si="17"/>
        <v>0.69876753945372261</v>
      </c>
      <c r="P34" s="61">
        <f t="shared" si="17"/>
        <v>0.4176393138119609</v>
      </c>
      <c r="Q34" s="61">
        <f t="shared" si="17"/>
        <v>-0.27905342273376649</v>
      </c>
      <c r="R34" s="61">
        <f t="shared" si="17"/>
        <v>5.6377452012164452E-2</v>
      </c>
      <c r="S34" s="61">
        <f t="shared" si="17"/>
        <v>5.8537869882159102E-2</v>
      </c>
      <c r="T34" s="61">
        <f t="shared" si="17"/>
        <v>5.2615397990843235E-2</v>
      </c>
      <c r="U34" s="61">
        <f t="shared" si="17"/>
        <v>3.8324305424375781E-2</v>
      </c>
      <c r="V34" s="5" t="s">
        <v>390</v>
      </c>
      <c r="W34" s="5">
        <f>SUM(W2:W33)</f>
        <v>3377656394.3200002</v>
      </c>
      <c r="X34" s="5">
        <f>SUM(X2:X33)</f>
        <v>70332283.710000008</v>
      </c>
      <c r="Y34" s="39"/>
      <c r="Z34" s="39"/>
      <c r="AA34" s="39"/>
      <c r="AB34" s="39"/>
      <c r="AC34" s="39"/>
    </row>
    <row r="35" spans="1:29" x14ac:dyDescent="0.25">
      <c r="A35" s="4"/>
      <c r="B35" s="61">
        <f>B38/B37</f>
        <v>2.0983068244191785E-2</v>
      </c>
      <c r="C35" s="61">
        <f t="shared" ref="C35:D35" si="18">C38/C37</f>
        <v>1.9531722260763339E-2</v>
      </c>
      <c r="D35" s="61">
        <f t="shared" si="18"/>
        <v>2.8587627525988025E-2</v>
      </c>
      <c r="E35" s="61">
        <f>E38/E37</f>
        <v>1.4065261472317233E-2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9"/>
      <c r="Z35" s="39"/>
      <c r="AA35" s="39"/>
      <c r="AB35" s="39"/>
      <c r="AC35" s="39"/>
    </row>
    <row r="36" spans="1:29" x14ac:dyDescent="0.25">
      <c r="A36" s="4"/>
      <c r="B36" s="61">
        <v>2.0983068244191785E-2</v>
      </c>
      <c r="C36" s="61">
        <v>1.9531722260763339E-2</v>
      </c>
      <c r="D36" s="61">
        <v>2.8587627525988025E-2</v>
      </c>
      <c r="E36" s="61">
        <v>1.4065261472317233E-2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61">
        <f>AVERAGE(R34:U34)</f>
        <v>5.1463756327385639E-2</v>
      </c>
      <c r="T36" s="5"/>
      <c r="U36" s="5"/>
      <c r="V36" s="5" t="s">
        <v>391</v>
      </c>
      <c r="W36" s="61">
        <f>X34/W34</f>
        <v>2.0822805963411063E-2</v>
      </c>
      <c r="X36" s="5"/>
      <c r="Y36" s="39"/>
      <c r="Z36" s="39"/>
      <c r="AA36" s="39"/>
      <c r="AB36" s="39"/>
      <c r="AC36" s="39"/>
    </row>
    <row r="37" spans="1:29" x14ac:dyDescent="0.25">
      <c r="A37" s="4"/>
      <c r="B37" s="5">
        <v>773144957.22000003</v>
      </c>
      <c r="C37" s="5">
        <v>813393815.86000001</v>
      </c>
      <c r="D37" s="5">
        <v>897223668.06000006</v>
      </c>
      <c r="E37" s="5">
        <v>893893953.18000007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39"/>
      <c r="Z37" s="39"/>
      <c r="AA37" s="39"/>
      <c r="AB37" s="39"/>
      <c r="AC37" s="39"/>
    </row>
    <row r="38" spans="1:29" x14ac:dyDescent="0.25">
      <c r="A38" s="4"/>
      <c r="B38" s="5">
        <v>16222953.399999999</v>
      </c>
      <c r="C38" s="5">
        <v>15886982.1</v>
      </c>
      <c r="D38" s="5">
        <v>25649496.030000001</v>
      </c>
      <c r="E38" s="5">
        <v>12572852.18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39"/>
      <c r="Z38" s="39"/>
      <c r="AA38" s="39"/>
      <c r="AB38" s="39"/>
      <c r="AC38" s="39"/>
    </row>
    <row r="39" spans="1:29" x14ac:dyDescent="0.25">
      <c r="A39" s="4"/>
      <c r="B39" s="61"/>
      <c r="C39" s="61"/>
      <c r="D39" s="61"/>
      <c r="E39" s="6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39"/>
      <c r="Z39" s="39"/>
      <c r="AA39" s="39"/>
      <c r="AB39" s="39"/>
      <c r="AC39" s="39"/>
    </row>
    <row r="40" spans="1:29" x14ac:dyDescent="0.25">
      <c r="A40" s="4">
        <v>2017</v>
      </c>
      <c r="B40" s="96">
        <v>773144957.22000003</v>
      </c>
      <c r="C40" s="96">
        <v>16222953.399999999</v>
      </c>
      <c r="D40" s="101">
        <v>2.0983068244191785E-2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39"/>
      <c r="Z40" s="39"/>
      <c r="AA40" s="39"/>
      <c r="AB40" s="39"/>
      <c r="AC40" s="39"/>
    </row>
    <row r="41" spans="1:29" x14ac:dyDescent="0.25">
      <c r="A41" s="4">
        <v>2018</v>
      </c>
      <c r="B41" s="96">
        <v>813393815.86000001</v>
      </c>
      <c r="C41" s="96">
        <v>15886982.1</v>
      </c>
      <c r="D41" s="101">
        <v>1.9531722260763339E-2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39"/>
      <c r="Z41" s="39"/>
      <c r="AA41" s="39"/>
      <c r="AB41" s="39"/>
      <c r="AC41" s="39"/>
    </row>
    <row r="42" spans="1:29" x14ac:dyDescent="0.25">
      <c r="A42" s="4">
        <v>2019</v>
      </c>
      <c r="B42" s="96">
        <v>897223668.06000006</v>
      </c>
      <c r="C42" s="96">
        <v>25649496.030000001</v>
      </c>
      <c r="D42" s="101">
        <v>2.8587627525988025E-2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39"/>
      <c r="Z42" s="39"/>
      <c r="AA42" s="39"/>
      <c r="AB42" s="39"/>
      <c r="AC42" s="39"/>
    </row>
    <row r="43" spans="1:29" x14ac:dyDescent="0.25">
      <c r="A43" s="4">
        <v>2020</v>
      </c>
      <c r="B43" s="96">
        <v>893893953.18000007</v>
      </c>
      <c r="C43" s="96">
        <v>12572852.18</v>
      </c>
      <c r="D43" s="101">
        <v>1.4065261472317233E-2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39"/>
      <c r="Z43" s="39"/>
      <c r="AA43" s="39"/>
      <c r="AB43" s="39"/>
      <c r="AC43" s="39"/>
    </row>
    <row r="44" spans="1:29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39"/>
      <c r="Z44" s="39"/>
      <c r="AA44" s="39"/>
      <c r="AB44" s="39"/>
      <c r="AC44" s="39"/>
    </row>
    <row r="45" spans="1:29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39"/>
      <c r="Z45" s="39"/>
      <c r="AA45" s="39"/>
      <c r="AB45" s="39"/>
      <c r="AC45" s="39"/>
    </row>
    <row r="46" spans="1:29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39"/>
      <c r="Z46" s="39"/>
      <c r="AA46" s="39"/>
      <c r="AB46" s="39"/>
      <c r="AC46" s="39"/>
    </row>
    <row r="47" spans="1:29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39"/>
      <c r="Z47" s="39"/>
      <c r="AA47" s="39"/>
      <c r="AB47" s="39"/>
      <c r="AC47" s="39"/>
    </row>
    <row r="48" spans="1:29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39"/>
      <c r="Z48" s="39"/>
      <c r="AA48" s="39"/>
      <c r="AB48" s="39"/>
      <c r="AC48" s="39"/>
    </row>
    <row r="49" spans="1:29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39"/>
      <c r="Z49" s="39"/>
      <c r="AA49" s="39"/>
      <c r="AB49" s="39"/>
      <c r="AC49" s="39"/>
    </row>
    <row r="50" spans="1:29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39"/>
      <c r="Z50" s="39"/>
      <c r="AA50" s="39"/>
      <c r="AB50" s="39"/>
      <c r="AC50" s="39"/>
    </row>
    <row r="51" spans="1:29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39"/>
      <c r="Z51" s="39"/>
      <c r="AA51" s="39"/>
      <c r="AB51" s="39"/>
      <c r="AC51" s="39"/>
    </row>
    <row r="52" spans="1:29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39"/>
      <c r="Z52" s="39"/>
      <c r="AA52" s="39"/>
      <c r="AB52" s="39"/>
      <c r="AC52" s="39"/>
    </row>
    <row r="53" spans="1:29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39"/>
      <c r="Z53" s="39"/>
      <c r="AA53" s="39"/>
      <c r="AB53" s="39"/>
      <c r="AC53" s="39"/>
    </row>
    <row r="54" spans="1:29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39"/>
      <c r="Z54" s="39"/>
      <c r="AA54" s="39"/>
      <c r="AB54" s="39"/>
      <c r="AC54" s="39"/>
    </row>
    <row r="55" spans="1:29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39"/>
      <c r="Z55" s="39"/>
      <c r="AA55" s="39"/>
      <c r="AB55" s="39"/>
      <c r="AC55" s="39"/>
    </row>
    <row r="56" spans="1:29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39"/>
      <c r="Z56" s="39"/>
      <c r="AA56" s="39"/>
      <c r="AB56" s="39"/>
      <c r="AC56" s="39"/>
    </row>
    <row r="57" spans="1:29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39"/>
      <c r="Z57" s="39"/>
      <c r="AA57" s="39"/>
      <c r="AB57" s="39"/>
      <c r="AC57" s="39"/>
    </row>
    <row r="58" spans="1:29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39"/>
      <c r="Z58" s="39"/>
      <c r="AA58" s="39"/>
      <c r="AB58" s="39"/>
      <c r="AC58" s="39"/>
    </row>
    <row r="59" spans="1:29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39"/>
      <c r="Z59" s="39"/>
      <c r="AA59" s="39"/>
      <c r="AB59" s="39"/>
      <c r="AC59" s="39"/>
    </row>
    <row r="60" spans="1:29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39"/>
      <c r="Z60" s="39"/>
      <c r="AA60" s="39"/>
      <c r="AB60" s="39"/>
      <c r="AC60" s="39"/>
    </row>
    <row r="61" spans="1:29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39"/>
      <c r="Z61" s="39"/>
      <c r="AA61" s="39"/>
      <c r="AB61" s="39"/>
      <c r="AC61" s="39"/>
    </row>
    <row r="62" spans="1:29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39"/>
      <c r="Z62" s="39"/>
      <c r="AA62" s="39"/>
      <c r="AB62" s="39"/>
      <c r="AC62" s="39"/>
    </row>
    <row r="63" spans="1:29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39"/>
      <c r="Z63" s="39"/>
      <c r="AA63" s="39"/>
      <c r="AB63" s="39"/>
      <c r="AC63" s="39"/>
    </row>
    <row r="64" spans="1:29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39"/>
      <c r="Z64" s="39"/>
      <c r="AA64" s="39"/>
      <c r="AB64" s="39"/>
      <c r="AC64" s="39"/>
    </row>
    <row r="65" spans="1:29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39"/>
      <c r="Z65" s="39"/>
      <c r="AA65" s="39"/>
      <c r="AB65" s="39"/>
      <c r="AC65" s="39"/>
    </row>
    <row r="66" spans="1:29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39"/>
      <c r="Z66" s="39"/>
      <c r="AA66" s="39"/>
      <c r="AB66" s="39"/>
      <c r="AC66" s="39"/>
    </row>
    <row r="67" spans="1:29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39"/>
      <c r="Z67" s="39"/>
      <c r="AA67" s="39"/>
      <c r="AB67" s="39"/>
      <c r="AC67" s="39"/>
    </row>
    <row r="68" spans="1:29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39"/>
      <c r="Z68" s="39"/>
      <c r="AA68" s="39"/>
      <c r="AB68" s="39"/>
      <c r="AC68" s="39"/>
    </row>
    <row r="69" spans="1:29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39"/>
      <c r="Z69" s="39"/>
      <c r="AA69" s="39"/>
      <c r="AB69" s="39"/>
      <c r="AC69" s="39"/>
    </row>
    <row r="70" spans="1:29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39"/>
      <c r="Z70" s="39"/>
      <c r="AA70" s="39"/>
      <c r="AB70" s="39"/>
      <c r="AC70" s="39"/>
    </row>
    <row r="71" spans="1:29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39"/>
      <c r="Z71" s="39"/>
      <c r="AA71" s="39"/>
      <c r="AB71" s="39"/>
      <c r="AC71" s="39"/>
    </row>
    <row r="72" spans="1:29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39"/>
      <c r="Z72" s="39"/>
      <c r="AA72" s="39"/>
      <c r="AB72" s="39"/>
      <c r="AC72" s="39"/>
    </row>
    <row r="73" spans="1:29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39"/>
      <c r="Z73" s="39"/>
      <c r="AA73" s="39"/>
      <c r="AB73" s="39"/>
      <c r="AC73" s="39"/>
    </row>
    <row r="74" spans="1:29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39"/>
      <c r="Z74" s="39"/>
      <c r="AA74" s="39"/>
      <c r="AB74" s="39"/>
      <c r="AC74" s="39"/>
    </row>
    <row r="75" spans="1:29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39"/>
      <c r="Z75" s="39"/>
      <c r="AA75" s="39"/>
      <c r="AB75" s="39"/>
      <c r="AC75" s="39"/>
    </row>
    <row r="76" spans="1:29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9"/>
      <c r="Z76" s="39"/>
      <c r="AA76" s="39"/>
      <c r="AB76" s="39"/>
      <c r="AC76" s="39"/>
    </row>
    <row r="77" spans="1:29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39"/>
      <c r="Z77" s="39"/>
      <c r="AA77" s="39"/>
      <c r="AB77" s="39"/>
      <c r="AC77" s="39"/>
    </row>
    <row r="78" spans="1:29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39"/>
      <c r="Z78" s="39"/>
      <c r="AA78" s="39"/>
      <c r="AB78" s="39"/>
      <c r="AC78" s="39"/>
    </row>
    <row r="79" spans="1:29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39"/>
      <c r="Z79" s="39"/>
      <c r="AA79" s="39"/>
      <c r="AB79" s="39"/>
      <c r="AC79" s="39"/>
    </row>
    <row r="80" spans="1:29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39"/>
      <c r="Z80" s="39"/>
      <c r="AA80" s="39"/>
      <c r="AB80" s="39"/>
      <c r="AC80" s="39"/>
    </row>
    <row r="81" spans="1:29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39"/>
      <c r="Z81" s="39"/>
      <c r="AA81" s="39"/>
      <c r="AB81" s="39"/>
      <c r="AC81" s="39"/>
    </row>
    <row r="82" spans="1:29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39"/>
      <c r="Z82" s="39"/>
      <c r="AA82" s="39"/>
      <c r="AB82" s="39"/>
      <c r="AC82" s="39"/>
    </row>
    <row r="83" spans="1:29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39"/>
      <c r="Z83" s="39"/>
      <c r="AA83" s="39"/>
      <c r="AB83" s="39"/>
      <c r="AC83" s="39"/>
    </row>
    <row r="84" spans="1:29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39"/>
      <c r="Z84" s="39"/>
      <c r="AA84" s="39"/>
      <c r="AB84" s="39"/>
      <c r="AC84" s="39"/>
    </row>
    <row r="85" spans="1:29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39"/>
      <c r="Z85" s="39"/>
      <c r="AA85" s="39"/>
      <c r="AB85" s="39"/>
      <c r="AC85" s="39"/>
    </row>
    <row r="86" spans="1:29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39"/>
      <c r="Z86" s="39"/>
      <c r="AA86" s="39"/>
      <c r="AB86" s="39"/>
      <c r="AC86" s="39"/>
    </row>
    <row r="87" spans="1:29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39"/>
      <c r="Z87" s="39"/>
      <c r="AA87" s="39"/>
      <c r="AB87" s="39"/>
      <c r="AC87" s="39"/>
    </row>
    <row r="88" spans="1:29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39"/>
      <c r="Z88" s="39"/>
      <c r="AA88" s="39"/>
      <c r="AB88" s="39"/>
      <c r="AC88" s="39"/>
    </row>
    <row r="89" spans="1:29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39"/>
      <c r="Z89" s="39"/>
      <c r="AA89" s="39"/>
      <c r="AB89" s="39"/>
      <c r="AC89" s="39"/>
    </row>
    <row r="90" spans="1:29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39"/>
      <c r="Z90" s="39"/>
      <c r="AA90" s="39"/>
      <c r="AB90" s="39"/>
      <c r="AC90" s="39"/>
    </row>
    <row r="91" spans="1:29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39"/>
      <c r="Z91" s="39"/>
      <c r="AA91" s="39"/>
      <c r="AB91" s="39"/>
      <c r="AC91" s="39"/>
    </row>
    <row r="92" spans="1:29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39"/>
      <c r="Z92" s="39"/>
      <c r="AA92" s="39"/>
      <c r="AB92" s="39"/>
      <c r="AC92" s="39"/>
    </row>
    <row r="93" spans="1:29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39"/>
      <c r="Z93" s="39"/>
      <c r="AA93" s="39"/>
      <c r="AB93" s="39"/>
      <c r="AC93" s="39"/>
    </row>
    <row r="94" spans="1:29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39"/>
      <c r="Z94" s="39"/>
      <c r="AA94" s="39"/>
      <c r="AB94" s="39"/>
      <c r="AC94" s="39"/>
    </row>
    <row r="95" spans="1:29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39"/>
      <c r="Z95" s="39"/>
      <c r="AA95" s="39"/>
      <c r="AB95" s="39"/>
      <c r="AC95" s="39"/>
    </row>
    <row r="96" spans="1:29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39"/>
      <c r="Z96" s="39"/>
      <c r="AA96" s="39"/>
      <c r="AB96" s="39"/>
      <c r="AC96" s="39"/>
    </row>
    <row r="97" spans="1:29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39"/>
      <c r="Z97" s="39"/>
      <c r="AA97" s="39"/>
      <c r="AB97" s="39"/>
      <c r="AC97" s="39"/>
    </row>
    <row r="98" spans="1:29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39"/>
      <c r="Z98" s="39"/>
      <c r="AA98" s="39"/>
      <c r="AB98" s="39"/>
      <c r="AC98" s="39"/>
    </row>
    <row r="99" spans="1:29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39"/>
      <c r="Z99" s="39"/>
      <c r="AA99" s="39"/>
      <c r="AB99" s="39"/>
      <c r="AC99" s="39"/>
    </row>
    <row r="100" spans="1:29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39"/>
      <c r="Z100" s="39"/>
      <c r="AA100" s="39"/>
      <c r="AB100" s="39"/>
      <c r="AC100" s="39"/>
    </row>
    <row r="101" spans="1:29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39"/>
      <c r="Z101" s="39"/>
      <c r="AA101" s="39"/>
      <c r="AB101" s="39"/>
      <c r="AC101" s="39"/>
    </row>
    <row r="102" spans="1:29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39"/>
      <c r="Z102" s="39"/>
      <c r="AA102" s="39"/>
      <c r="AB102" s="39"/>
      <c r="AC102" s="39"/>
    </row>
    <row r="103" spans="1:29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39"/>
      <c r="Z103" s="39"/>
      <c r="AA103" s="39"/>
      <c r="AB103" s="39"/>
      <c r="AC103" s="39"/>
    </row>
    <row r="104" spans="1:29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39"/>
      <c r="Z104" s="39"/>
      <c r="AA104" s="39"/>
      <c r="AB104" s="39"/>
      <c r="AC104" s="39"/>
    </row>
    <row r="105" spans="1:29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39"/>
      <c r="Z105" s="39"/>
      <c r="AA105" s="39"/>
      <c r="AB105" s="39"/>
      <c r="AC105" s="39"/>
    </row>
    <row r="106" spans="1:29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39"/>
      <c r="Z106" s="39"/>
      <c r="AA106" s="39"/>
      <c r="AB106" s="39"/>
      <c r="AC106" s="39"/>
    </row>
    <row r="107" spans="1:29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39"/>
      <c r="Z107" s="39"/>
      <c r="AA107" s="39"/>
      <c r="AB107" s="39"/>
      <c r="AC107" s="39"/>
    </row>
    <row r="108" spans="1:29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39"/>
      <c r="Z108" s="39"/>
      <c r="AA108" s="39"/>
      <c r="AB108" s="39"/>
      <c r="AC108" s="39"/>
    </row>
    <row r="109" spans="1:29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39"/>
      <c r="Z109" s="39"/>
      <c r="AA109" s="39"/>
      <c r="AB109" s="39"/>
      <c r="AC109" s="39"/>
    </row>
    <row r="110" spans="1:29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39"/>
      <c r="Z110" s="39"/>
      <c r="AA110" s="39"/>
      <c r="AB110" s="39"/>
      <c r="AC110" s="39"/>
    </row>
    <row r="111" spans="1:29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39"/>
      <c r="Z111" s="39"/>
      <c r="AA111" s="39"/>
      <c r="AB111" s="39"/>
      <c r="AC111" s="39"/>
    </row>
    <row r="112" spans="1:29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39"/>
      <c r="Z112" s="39"/>
      <c r="AA112" s="39"/>
      <c r="AB112" s="39"/>
      <c r="AC112" s="39"/>
    </row>
    <row r="113" spans="1:29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39"/>
      <c r="Z113" s="39"/>
      <c r="AA113" s="39"/>
      <c r="AB113" s="39"/>
      <c r="AC113" s="39"/>
    </row>
    <row r="114" spans="1:29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39"/>
      <c r="Z114" s="39"/>
      <c r="AA114" s="39"/>
      <c r="AB114" s="39"/>
      <c r="AC114" s="39"/>
    </row>
    <row r="115" spans="1:29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39"/>
      <c r="Z115" s="39"/>
      <c r="AA115" s="39"/>
      <c r="AB115" s="39"/>
      <c r="AC115" s="39"/>
    </row>
    <row r="116" spans="1:29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39"/>
      <c r="Z116" s="39"/>
      <c r="AA116" s="39"/>
      <c r="AB116" s="39"/>
      <c r="AC116" s="39"/>
    </row>
    <row r="117" spans="1:29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39"/>
      <c r="Z117" s="39"/>
      <c r="AA117" s="39"/>
      <c r="AB117" s="39"/>
      <c r="AC117" s="39"/>
    </row>
    <row r="118" spans="1:29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39"/>
      <c r="Z118" s="39"/>
      <c r="AA118" s="39"/>
      <c r="AB118" s="39"/>
      <c r="AC118" s="39"/>
    </row>
    <row r="119" spans="1:29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39"/>
      <c r="Z119" s="39"/>
      <c r="AA119" s="39"/>
      <c r="AB119" s="39"/>
      <c r="AC119" s="39"/>
    </row>
    <row r="120" spans="1:29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39"/>
      <c r="Z120" s="39"/>
      <c r="AA120" s="39"/>
      <c r="AB120" s="39"/>
      <c r="AC120" s="39"/>
    </row>
    <row r="121" spans="1:29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39"/>
      <c r="Z121" s="39"/>
      <c r="AA121" s="39"/>
      <c r="AB121" s="39"/>
      <c r="AC121" s="39"/>
    </row>
    <row r="122" spans="1:29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39"/>
      <c r="Z122" s="39"/>
      <c r="AA122" s="39"/>
      <c r="AB122" s="39"/>
      <c r="AC122" s="39"/>
    </row>
    <row r="123" spans="1:29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39"/>
      <c r="Z123" s="39"/>
      <c r="AA123" s="39"/>
      <c r="AB123" s="39"/>
      <c r="AC123" s="39"/>
    </row>
    <row r="124" spans="1:29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39"/>
      <c r="Z124" s="39"/>
      <c r="AA124" s="39"/>
      <c r="AB124" s="39"/>
      <c r="AC124" s="39"/>
    </row>
    <row r="125" spans="1:29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39"/>
      <c r="Z125" s="39"/>
      <c r="AA125" s="39"/>
      <c r="AB125" s="39"/>
      <c r="AC125" s="39"/>
    </row>
    <row r="126" spans="1:29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39"/>
      <c r="Z126" s="39"/>
      <c r="AA126" s="39"/>
      <c r="AB126" s="39"/>
      <c r="AC126" s="39"/>
    </row>
    <row r="127" spans="1:29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39"/>
      <c r="Z127" s="39"/>
      <c r="AA127" s="39"/>
      <c r="AB127" s="39"/>
      <c r="AC127" s="39"/>
    </row>
    <row r="128" spans="1:29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39"/>
      <c r="Z128" s="39"/>
      <c r="AA128" s="39"/>
      <c r="AB128" s="39"/>
      <c r="AC128" s="39"/>
    </row>
    <row r="129" spans="1:29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39"/>
      <c r="Z129" s="39"/>
      <c r="AA129" s="39"/>
      <c r="AB129" s="39"/>
      <c r="AC129" s="39"/>
    </row>
    <row r="130" spans="1:29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39"/>
      <c r="Z130" s="39"/>
      <c r="AA130" s="39"/>
      <c r="AB130" s="39"/>
      <c r="AC130" s="39"/>
    </row>
    <row r="131" spans="1:29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39"/>
      <c r="Z131" s="39"/>
      <c r="AA131" s="39"/>
      <c r="AB131" s="39"/>
      <c r="AC131" s="39"/>
    </row>
    <row r="132" spans="1:29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39"/>
      <c r="Z132" s="39"/>
      <c r="AA132" s="39"/>
      <c r="AB132" s="39"/>
      <c r="AC132" s="39"/>
    </row>
    <row r="133" spans="1:29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39"/>
      <c r="Z133" s="39"/>
      <c r="AA133" s="39"/>
      <c r="AB133" s="39"/>
      <c r="AC133" s="39"/>
    </row>
    <row r="134" spans="1:29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39"/>
      <c r="Z134" s="39"/>
      <c r="AA134" s="39"/>
      <c r="AB134" s="39"/>
      <c r="AC134" s="39"/>
    </row>
    <row r="135" spans="1:29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39"/>
      <c r="Z135" s="39"/>
      <c r="AA135" s="39"/>
      <c r="AB135" s="39"/>
      <c r="AC135" s="39"/>
    </row>
    <row r="136" spans="1:29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39"/>
      <c r="Z136" s="39"/>
      <c r="AA136" s="39"/>
      <c r="AB136" s="39"/>
      <c r="AC136" s="39"/>
    </row>
    <row r="137" spans="1:29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39"/>
      <c r="Z137" s="39"/>
      <c r="AA137" s="39"/>
      <c r="AB137" s="39"/>
      <c r="AC137" s="39"/>
    </row>
    <row r="138" spans="1:29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39"/>
      <c r="Z138" s="39"/>
      <c r="AA138" s="39"/>
      <c r="AB138" s="39"/>
      <c r="AC138" s="39"/>
    </row>
    <row r="139" spans="1:29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39"/>
      <c r="Z139" s="39"/>
      <c r="AA139" s="39"/>
      <c r="AB139" s="39"/>
      <c r="AC139" s="39"/>
    </row>
    <row r="140" spans="1:29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39"/>
      <c r="Z140" s="39"/>
      <c r="AA140" s="39"/>
      <c r="AB140" s="39"/>
      <c r="AC140" s="39"/>
    </row>
    <row r="141" spans="1:29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39"/>
      <c r="Z141" s="39"/>
      <c r="AA141" s="39"/>
      <c r="AB141" s="39"/>
      <c r="AC141" s="39"/>
    </row>
    <row r="142" spans="1:29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39"/>
      <c r="Z142" s="39"/>
      <c r="AA142" s="39"/>
      <c r="AB142" s="39"/>
      <c r="AC142" s="39"/>
    </row>
    <row r="143" spans="1:29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39"/>
      <c r="Z143" s="39"/>
      <c r="AA143" s="39"/>
      <c r="AB143" s="39"/>
      <c r="AC143" s="39"/>
    </row>
    <row r="144" spans="1:29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39"/>
      <c r="Z144" s="39"/>
      <c r="AA144" s="39"/>
      <c r="AB144" s="39"/>
      <c r="AC144" s="39"/>
    </row>
    <row r="145" spans="1:29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39"/>
      <c r="Z145" s="39"/>
      <c r="AA145" s="39"/>
      <c r="AB145" s="39"/>
      <c r="AC145" s="39"/>
    </row>
    <row r="146" spans="1:29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39"/>
      <c r="Z146" s="39"/>
      <c r="AA146" s="39"/>
      <c r="AB146" s="39"/>
      <c r="AC146" s="39"/>
    </row>
    <row r="147" spans="1:29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39"/>
      <c r="Z147" s="39"/>
      <c r="AA147" s="39"/>
      <c r="AB147" s="39"/>
      <c r="AC147" s="39"/>
    </row>
    <row r="148" spans="1:29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39"/>
      <c r="Z148" s="39"/>
      <c r="AA148" s="39"/>
      <c r="AB148" s="39"/>
      <c r="AC148" s="39"/>
    </row>
    <row r="149" spans="1:29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39"/>
      <c r="Z149" s="39"/>
      <c r="AA149" s="39"/>
      <c r="AB149" s="39"/>
      <c r="AC149" s="39"/>
    </row>
    <row r="150" spans="1:29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39"/>
      <c r="Z150" s="39"/>
      <c r="AA150" s="39"/>
      <c r="AB150" s="39"/>
      <c r="AC150" s="39"/>
    </row>
    <row r="151" spans="1:29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39"/>
      <c r="Z151" s="39"/>
      <c r="AA151" s="39"/>
      <c r="AB151" s="39"/>
      <c r="AC151" s="39"/>
    </row>
    <row r="152" spans="1:29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39"/>
      <c r="Z152" s="39"/>
      <c r="AA152" s="39"/>
      <c r="AB152" s="39"/>
      <c r="AC152" s="39"/>
    </row>
    <row r="153" spans="1:29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39"/>
      <c r="Z153" s="39"/>
      <c r="AA153" s="39"/>
      <c r="AB153" s="39"/>
      <c r="AC153" s="39"/>
    </row>
    <row r="154" spans="1:29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39"/>
      <c r="Z154" s="39"/>
      <c r="AA154" s="39"/>
      <c r="AB154" s="39"/>
      <c r="AC154" s="39"/>
    </row>
    <row r="155" spans="1:29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39"/>
      <c r="Z155" s="39"/>
      <c r="AA155" s="39"/>
      <c r="AB155" s="39"/>
      <c r="AC155" s="39"/>
    </row>
    <row r="156" spans="1:29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39"/>
      <c r="Z156" s="39"/>
      <c r="AA156" s="39"/>
      <c r="AB156" s="39"/>
      <c r="AC156" s="39"/>
    </row>
    <row r="157" spans="1:29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39"/>
      <c r="Z157" s="39"/>
      <c r="AA157" s="39"/>
      <c r="AB157" s="39"/>
      <c r="AC157" s="39"/>
    </row>
    <row r="158" spans="1:29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39"/>
      <c r="Z158" s="39"/>
      <c r="AA158" s="39"/>
      <c r="AB158" s="39"/>
      <c r="AC158" s="39"/>
    </row>
    <row r="159" spans="1:29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39"/>
      <c r="Z159" s="39"/>
      <c r="AA159" s="39"/>
      <c r="AB159" s="39"/>
      <c r="AC159" s="39"/>
    </row>
    <row r="160" spans="1:29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39"/>
      <c r="Z160" s="39"/>
      <c r="AA160" s="39"/>
      <c r="AB160" s="39"/>
      <c r="AC160" s="39"/>
    </row>
    <row r="161" spans="1:29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39"/>
      <c r="Z161" s="39"/>
      <c r="AA161" s="39"/>
      <c r="AB161" s="39"/>
      <c r="AC161" s="39"/>
    </row>
    <row r="162" spans="1:29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39"/>
      <c r="Z162" s="39"/>
      <c r="AA162" s="39"/>
      <c r="AB162" s="39"/>
      <c r="AC162" s="39"/>
    </row>
    <row r="163" spans="1:29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39"/>
      <c r="Z163" s="39"/>
      <c r="AA163" s="39"/>
      <c r="AB163" s="39"/>
      <c r="AC163" s="39"/>
    </row>
    <row r="164" spans="1:29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39"/>
      <c r="Z164" s="39"/>
      <c r="AA164" s="39"/>
      <c r="AB164" s="39"/>
      <c r="AC164" s="39"/>
    </row>
    <row r="165" spans="1:29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39"/>
      <c r="Z165" s="39"/>
      <c r="AA165" s="39"/>
      <c r="AB165" s="39"/>
      <c r="AC165" s="39"/>
    </row>
    <row r="166" spans="1:29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39"/>
      <c r="Z166" s="39"/>
      <c r="AA166" s="39"/>
      <c r="AB166" s="39"/>
      <c r="AC166" s="39"/>
    </row>
    <row r="167" spans="1:29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39"/>
      <c r="Z167" s="39"/>
      <c r="AA167" s="39"/>
      <c r="AB167" s="39"/>
      <c r="AC167" s="39"/>
    </row>
    <row r="168" spans="1:29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39"/>
      <c r="Z168" s="39"/>
      <c r="AA168" s="39"/>
      <c r="AB168" s="39"/>
      <c r="AC168" s="39"/>
    </row>
    <row r="169" spans="1:29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39"/>
      <c r="Z169" s="39"/>
      <c r="AA169" s="39"/>
      <c r="AB169" s="39"/>
      <c r="AC169" s="39"/>
    </row>
    <row r="170" spans="1:29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39"/>
      <c r="Z170" s="39"/>
      <c r="AA170" s="39"/>
      <c r="AB170" s="39"/>
      <c r="AC170" s="39"/>
    </row>
    <row r="171" spans="1:29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39"/>
      <c r="Z171" s="39"/>
      <c r="AA171" s="39"/>
      <c r="AB171" s="39"/>
      <c r="AC171" s="39"/>
    </row>
    <row r="172" spans="1:29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39"/>
      <c r="Z172" s="39"/>
      <c r="AA172" s="39"/>
      <c r="AB172" s="39"/>
      <c r="AC172" s="39"/>
    </row>
    <row r="173" spans="1:29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39"/>
      <c r="Z173" s="39"/>
      <c r="AA173" s="39"/>
      <c r="AB173" s="39"/>
      <c r="AC173" s="39"/>
    </row>
    <row r="174" spans="1:29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39"/>
      <c r="Z174" s="39"/>
      <c r="AA174" s="39"/>
      <c r="AB174" s="39"/>
      <c r="AC174" s="39"/>
    </row>
    <row r="175" spans="1:29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39"/>
      <c r="Z175" s="39"/>
      <c r="AA175" s="39"/>
      <c r="AB175" s="39"/>
      <c r="AC175" s="39"/>
    </row>
    <row r="176" spans="1:29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39"/>
      <c r="Z176" s="39"/>
      <c r="AA176" s="39"/>
      <c r="AB176" s="39"/>
      <c r="AC176" s="39"/>
    </row>
    <row r="177" spans="1:29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39"/>
      <c r="Z177" s="39"/>
      <c r="AA177" s="39"/>
      <c r="AB177" s="39"/>
      <c r="AC177" s="39"/>
    </row>
    <row r="178" spans="1:29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39"/>
      <c r="Z178" s="39"/>
      <c r="AA178" s="39"/>
      <c r="AB178" s="39"/>
      <c r="AC178" s="39"/>
    </row>
    <row r="179" spans="1:29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39"/>
      <c r="Z179" s="39"/>
      <c r="AA179" s="39"/>
      <c r="AB179" s="39"/>
      <c r="AC179" s="39"/>
    </row>
    <row r="180" spans="1:29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39"/>
      <c r="Z180" s="39"/>
      <c r="AA180" s="39"/>
      <c r="AB180" s="39"/>
      <c r="AC180" s="39"/>
    </row>
    <row r="181" spans="1:29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39"/>
      <c r="Z181" s="39"/>
      <c r="AA181" s="39"/>
      <c r="AB181" s="39"/>
      <c r="AC181" s="39"/>
    </row>
    <row r="182" spans="1:29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39"/>
      <c r="Z182" s="39"/>
      <c r="AA182" s="39"/>
      <c r="AB182" s="39"/>
      <c r="AC182" s="39"/>
    </row>
    <row r="183" spans="1:29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39"/>
      <c r="Z183" s="39"/>
      <c r="AA183" s="39"/>
      <c r="AB183" s="39"/>
      <c r="AC183" s="39"/>
    </row>
    <row r="184" spans="1:29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39"/>
      <c r="Z184" s="39"/>
      <c r="AA184" s="39"/>
      <c r="AB184" s="39"/>
      <c r="AC184" s="39"/>
    </row>
    <row r="185" spans="1:29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39"/>
      <c r="Z185" s="39"/>
      <c r="AA185" s="39"/>
      <c r="AB185" s="39"/>
      <c r="AC185" s="39"/>
    </row>
    <row r="186" spans="1:29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39"/>
      <c r="Z186" s="39"/>
      <c r="AA186" s="39"/>
      <c r="AB186" s="39"/>
      <c r="AC186" s="39"/>
    </row>
    <row r="187" spans="1:29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39"/>
      <c r="Z187" s="39"/>
      <c r="AA187" s="39"/>
      <c r="AB187" s="39"/>
      <c r="AC187" s="39"/>
    </row>
    <row r="188" spans="1:29" x14ac:dyDescent="0.2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39"/>
      <c r="Z188" s="39"/>
      <c r="AA188" s="39"/>
      <c r="AB188" s="39"/>
      <c r="AC188" s="39"/>
    </row>
    <row r="189" spans="1:29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39"/>
      <c r="Z189" s="39"/>
      <c r="AA189" s="39"/>
      <c r="AB189" s="39"/>
      <c r="AC189" s="39"/>
    </row>
    <row r="190" spans="1:29" x14ac:dyDescent="0.2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39"/>
      <c r="Z190" s="39"/>
      <c r="AA190" s="39"/>
      <c r="AB190" s="39"/>
      <c r="AC190" s="39"/>
    </row>
    <row r="191" spans="1:29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39"/>
      <c r="Z191" s="39"/>
      <c r="AA191" s="39"/>
      <c r="AB191" s="39"/>
      <c r="AC191" s="39"/>
    </row>
    <row r="192" spans="1:29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39"/>
      <c r="Z192" s="39"/>
      <c r="AA192" s="39"/>
      <c r="AB192" s="39"/>
      <c r="AC192" s="39"/>
    </row>
    <row r="193" spans="1:30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39"/>
      <c r="Z193" s="39"/>
      <c r="AA193" s="39"/>
      <c r="AB193" s="39"/>
      <c r="AC193" s="39"/>
    </row>
    <row r="194" spans="1:30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30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30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30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30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30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30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30" s="40" customFormat="1" x14ac:dyDescent="0.25">
      <c r="A201" s="1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AD201"/>
    </row>
    <row r="202" spans="1:30" s="40" customFormat="1" x14ac:dyDescent="0.25">
      <c r="A202" s="1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AD202"/>
    </row>
    <row r="203" spans="1:30" s="40" customFormat="1" x14ac:dyDescent="0.25">
      <c r="A203" s="1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AD203"/>
    </row>
    <row r="204" spans="1:30" s="40" customFormat="1" x14ac:dyDescent="0.25">
      <c r="A204" s="1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AD204"/>
    </row>
    <row r="205" spans="1:30" s="40" customFormat="1" x14ac:dyDescent="0.25">
      <c r="A205" s="1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AD205"/>
    </row>
    <row r="206" spans="1:30" s="40" customFormat="1" x14ac:dyDescent="0.25">
      <c r="A206" s="1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AD206"/>
    </row>
    <row r="207" spans="1:30" s="40" customFormat="1" x14ac:dyDescent="0.25">
      <c r="A207" s="1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AD207"/>
    </row>
    <row r="208" spans="1:30" s="40" customFormat="1" x14ac:dyDescent="0.25">
      <c r="A208" s="1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AD208"/>
    </row>
    <row r="209" spans="1:30" s="40" customFormat="1" x14ac:dyDescent="0.25">
      <c r="A209" s="1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AD209"/>
    </row>
    <row r="210" spans="1:30" s="40" customFormat="1" x14ac:dyDescent="0.25">
      <c r="A210" s="1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AD210"/>
    </row>
    <row r="211" spans="1:30" s="40" customFormat="1" x14ac:dyDescent="0.25">
      <c r="A211" s="1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AD211"/>
    </row>
    <row r="212" spans="1:30" s="40" customFormat="1" x14ac:dyDescent="0.25">
      <c r="A212" s="1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AD212"/>
    </row>
    <row r="213" spans="1:30" s="40" customFormat="1" x14ac:dyDescent="0.25">
      <c r="A213" s="1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AD213"/>
    </row>
    <row r="214" spans="1:30" s="40" customFormat="1" x14ac:dyDescent="0.25">
      <c r="A214" s="1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AD214"/>
    </row>
    <row r="215" spans="1:30" s="40" customFormat="1" x14ac:dyDescent="0.25">
      <c r="A215" s="1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AD215"/>
    </row>
    <row r="216" spans="1:30" s="40" customFormat="1" x14ac:dyDescent="0.25">
      <c r="A216" s="1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AD216"/>
    </row>
    <row r="217" spans="1:30" s="40" customFormat="1" x14ac:dyDescent="0.25">
      <c r="A217" s="1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AD217"/>
    </row>
    <row r="218" spans="1:30" s="40" customFormat="1" x14ac:dyDescent="0.25">
      <c r="A218" s="1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AD218"/>
    </row>
    <row r="219" spans="1:30" s="40" customFormat="1" x14ac:dyDescent="0.25">
      <c r="A219" s="1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AD219"/>
    </row>
    <row r="220" spans="1:30" s="40" customFormat="1" x14ac:dyDescent="0.25">
      <c r="A220" s="1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AD220"/>
    </row>
    <row r="221" spans="1:30" s="40" customFormat="1" x14ac:dyDescent="0.25">
      <c r="A221" s="1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AD221"/>
    </row>
    <row r="222" spans="1:30" s="40" customFormat="1" x14ac:dyDescent="0.25">
      <c r="A222" s="1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AD222"/>
    </row>
    <row r="223" spans="1:30" s="40" customFormat="1" x14ac:dyDescent="0.25">
      <c r="A223" s="1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AD223"/>
    </row>
    <row r="224" spans="1:30" s="40" customFormat="1" x14ac:dyDescent="0.25">
      <c r="A224" s="1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AD224"/>
    </row>
    <row r="225" spans="1:30" s="40" customFormat="1" x14ac:dyDescent="0.25">
      <c r="A225" s="1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AD225"/>
    </row>
    <row r="226" spans="1:30" s="40" customFormat="1" x14ac:dyDescent="0.25">
      <c r="A226" s="1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AD226"/>
    </row>
    <row r="227" spans="1:30" s="40" customFormat="1" x14ac:dyDescent="0.25">
      <c r="A227" s="1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AD227"/>
    </row>
    <row r="228" spans="1:30" s="40" customFormat="1" x14ac:dyDescent="0.25">
      <c r="A228" s="1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AD228"/>
    </row>
    <row r="229" spans="1:30" s="40" customFormat="1" x14ac:dyDescent="0.25">
      <c r="A229" s="1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AD229"/>
    </row>
    <row r="230" spans="1:30" s="40" customFormat="1" x14ac:dyDescent="0.25">
      <c r="A230" s="1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AD230"/>
    </row>
  </sheetData>
  <pageMargins left="0.511811024" right="0.511811024" top="0.78740157499999996" bottom="0.78740157499999996" header="0.31496062000000002" footer="0.31496062000000002"/>
  <pageSetup paperSize="11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4"/>
  <sheetViews>
    <sheetView zoomScale="63" zoomScaleNormal="63" workbookViewId="0">
      <pane xSplit="4" ySplit="3" topLeftCell="E16" activePane="bottomRight" state="frozen"/>
      <selection pane="topRight" activeCell="E1" sqref="E1"/>
      <selection pane="bottomLeft" activeCell="A4" sqref="A4"/>
      <selection pane="bottomRight" activeCell="S2" sqref="S2"/>
    </sheetView>
  </sheetViews>
  <sheetFormatPr defaultRowHeight="15" x14ac:dyDescent="0.25"/>
  <cols>
    <col min="1" max="1" width="27.7109375" style="1" customWidth="1"/>
    <col min="2" max="9" width="17.85546875" customWidth="1"/>
    <col min="10" max="13" width="17.85546875" hidden="1" customWidth="1"/>
    <col min="14" max="15" width="15.5703125" style="40" customWidth="1"/>
    <col min="16" max="16" width="24.7109375" style="40" customWidth="1"/>
    <col min="17" max="17" width="11.5703125" style="40" customWidth="1"/>
    <col min="18" max="18" width="22.140625" style="40" customWidth="1"/>
  </cols>
  <sheetData>
    <row r="1" spans="1:18" s="3" customFormat="1" ht="213" customHeight="1" x14ac:dyDescent="0.25">
      <c r="A1" s="6" t="s">
        <v>12</v>
      </c>
      <c r="B1" s="2" t="s">
        <v>351</v>
      </c>
      <c r="C1" s="2" t="s">
        <v>352</v>
      </c>
      <c r="D1" s="2" t="s">
        <v>353</v>
      </c>
      <c r="E1" s="2" t="s">
        <v>354</v>
      </c>
      <c r="F1" s="2" t="s">
        <v>355</v>
      </c>
      <c r="G1" s="2" t="s">
        <v>356</v>
      </c>
      <c r="H1" s="2" t="s">
        <v>357</v>
      </c>
      <c r="I1" s="2" t="s">
        <v>358</v>
      </c>
      <c r="J1" s="2" t="s">
        <v>76</v>
      </c>
      <c r="K1" s="2" t="s">
        <v>77</v>
      </c>
      <c r="L1" s="2" t="s">
        <v>78</v>
      </c>
      <c r="M1" s="2" t="s">
        <v>79</v>
      </c>
      <c r="N1" s="37" t="s">
        <v>15</v>
      </c>
      <c r="O1" s="37" t="s">
        <v>16</v>
      </c>
      <c r="P1" s="38" t="s">
        <v>359</v>
      </c>
      <c r="Q1" s="37" t="s">
        <v>3</v>
      </c>
      <c r="R1" s="37" t="s">
        <v>4</v>
      </c>
    </row>
    <row r="2" spans="1:18" s="15" customFormat="1" ht="30" x14ac:dyDescent="0.25">
      <c r="A2" s="11" t="s">
        <v>29</v>
      </c>
      <c r="B2" s="14">
        <v>621054.57999999996</v>
      </c>
      <c r="C2" s="14">
        <v>685706.49</v>
      </c>
      <c r="D2" s="14">
        <v>994030.11</v>
      </c>
      <c r="E2" s="14">
        <v>698220.46</v>
      </c>
      <c r="F2" s="14">
        <v>436319.5</v>
      </c>
      <c r="G2" s="14">
        <v>932006.66</v>
      </c>
      <c r="H2" s="14">
        <v>1010558.92</v>
      </c>
      <c r="I2" s="14">
        <v>1081328.68</v>
      </c>
      <c r="J2" s="14"/>
      <c r="K2" s="14"/>
      <c r="L2" s="14"/>
      <c r="M2" s="14"/>
      <c r="N2" s="39">
        <v>2005</v>
      </c>
      <c r="O2" s="39">
        <f t="shared" ref="O2:O22" si="0">2021-N2</f>
        <v>16</v>
      </c>
      <c r="P2" s="39">
        <v>2</v>
      </c>
      <c r="Q2" s="39">
        <v>1</v>
      </c>
      <c r="R2" s="39" t="s">
        <v>30</v>
      </c>
    </row>
    <row r="3" spans="1:18" s="15" customFormat="1" ht="45" x14ac:dyDescent="0.25">
      <c r="A3" s="11" t="s">
        <v>41</v>
      </c>
      <c r="B3" s="14">
        <v>179103.7</v>
      </c>
      <c r="C3" s="14">
        <v>105192.17</v>
      </c>
      <c r="D3" s="14">
        <v>136624.01999999999</v>
      </c>
      <c r="E3" s="14">
        <v>142047.41</v>
      </c>
      <c r="F3" s="14">
        <v>915272.98</v>
      </c>
      <c r="G3" s="14">
        <v>781803.55</v>
      </c>
      <c r="H3" s="14">
        <v>1009120.22</v>
      </c>
      <c r="I3" s="14">
        <v>981431.25999999989</v>
      </c>
      <c r="J3" s="14"/>
      <c r="K3" s="14"/>
      <c r="L3" s="14"/>
      <c r="M3" s="14"/>
      <c r="N3" s="39">
        <v>1999</v>
      </c>
      <c r="O3" s="39">
        <f t="shared" si="0"/>
        <v>22</v>
      </c>
      <c r="P3" s="39">
        <v>3</v>
      </c>
      <c r="Q3" s="39">
        <v>1</v>
      </c>
      <c r="R3" s="39" t="s">
        <v>42</v>
      </c>
    </row>
    <row r="4" spans="1:18" s="22" customFormat="1" ht="30" x14ac:dyDescent="0.25">
      <c r="A4" s="18" t="s">
        <v>325</v>
      </c>
      <c r="B4" s="41" t="s">
        <v>115</v>
      </c>
      <c r="C4" s="21">
        <f>1166000+23000</f>
        <v>1189000</v>
      </c>
      <c r="D4" s="21">
        <f>771000+18000</f>
        <v>789000</v>
      </c>
      <c r="E4" s="21">
        <v>88070</v>
      </c>
      <c r="F4" s="41" t="s">
        <v>115</v>
      </c>
      <c r="G4" s="21">
        <f>639000+344000</f>
        <v>983000</v>
      </c>
      <c r="H4" s="21">
        <f>403000+474000</f>
        <v>877000</v>
      </c>
      <c r="I4" s="21">
        <v>759273</v>
      </c>
      <c r="J4" s="21"/>
      <c r="K4" s="21"/>
      <c r="L4" s="21"/>
      <c r="M4" s="21"/>
      <c r="N4" s="39">
        <v>1995</v>
      </c>
      <c r="O4" s="39">
        <f t="shared" si="0"/>
        <v>26</v>
      </c>
      <c r="P4" s="39">
        <v>1</v>
      </c>
      <c r="Q4" s="39">
        <v>1</v>
      </c>
      <c r="R4" s="39" t="s">
        <v>327</v>
      </c>
    </row>
    <row r="5" spans="1:18" s="15" customFormat="1" ht="30" x14ac:dyDescent="0.25">
      <c r="A5" s="11" t="s">
        <v>49</v>
      </c>
      <c r="B5" s="14">
        <f>10342670</f>
        <v>10342670</v>
      </c>
      <c r="C5" s="14">
        <v>8216662</v>
      </c>
      <c r="D5" s="14">
        <f>9390574</f>
        <v>9390574</v>
      </c>
      <c r="E5" s="14">
        <v>16355899</v>
      </c>
      <c r="F5" s="14">
        <f>11333187+163120</f>
        <v>11496307</v>
      </c>
      <c r="G5" s="14">
        <f>107801+12478541</f>
        <v>12586342</v>
      </c>
      <c r="H5" s="14">
        <f>14304178+130372+49554</f>
        <v>14484104</v>
      </c>
      <c r="I5" s="14">
        <f>94799+13537890</f>
        <v>13632689</v>
      </c>
      <c r="J5" s="14"/>
      <c r="K5" s="14"/>
      <c r="L5" s="14"/>
      <c r="M5" s="14"/>
      <c r="N5" s="39">
        <v>1965</v>
      </c>
      <c r="O5" s="39">
        <f t="shared" si="0"/>
        <v>56</v>
      </c>
      <c r="P5" s="39">
        <v>1</v>
      </c>
      <c r="Q5" s="39">
        <v>1</v>
      </c>
      <c r="R5" s="39" t="s">
        <v>51</v>
      </c>
    </row>
    <row r="6" spans="1:18" s="15" customFormat="1" x14ac:dyDescent="0.25">
      <c r="A6" s="11" t="s">
        <v>55</v>
      </c>
      <c r="B6" s="14">
        <v>251688</v>
      </c>
      <c r="C6" s="14">
        <v>425674</v>
      </c>
      <c r="D6" s="14">
        <v>310782</v>
      </c>
      <c r="E6" s="14">
        <v>121827</v>
      </c>
      <c r="F6" s="14">
        <v>2482666</v>
      </c>
      <c r="G6" s="14">
        <v>3002703</v>
      </c>
      <c r="H6" s="14">
        <v>2973566</v>
      </c>
      <c r="I6" s="14">
        <v>2088261</v>
      </c>
      <c r="J6" s="14"/>
      <c r="K6" s="14"/>
      <c r="L6" s="14"/>
      <c r="M6" s="14"/>
      <c r="N6" s="39">
        <v>2006</v>
      </c>
      <c r="O6" s="39">
        <f t="shared" si="0"/>
        <v>15</v>
      </c>
      <c r="P6" s="39">
        <v>3</v>
      </c>
      <c r="Q6" s="39">
        <v>1</v>
      </c>
      <c r="R6" s="39" t="s">
        <v>5</v>
      </c>
    </row>
    <row r="7" spans="1:18" s="15" customFormat="1" ht="75" x14ac:dyDescent="0.25">
      <c r="A7" s="11" t="s">
        <v>64</v>
      </c>
      <c r="B7" s="14">
        <v>4051081.48</v>
      </c>
      <c r="C7" s="14">
        <v>3187272.36</v>
      </c>
      <c r="D7" s="14">
        <v>4949750.96</v>
      </c>
      <c r="E7" s="14">
        <v>3774057.79</v>
      </c>
      <c r="F7" s="14">
        <f>4129841.43-265845.71</f>
        <v>3863995.72</v>
      </c>
      <c r="G7" s="14">
        <f>4717783.8-142850.86</f>
        <v>4574932.9399999995</v>
      </c>
      <c r="H7" s="14">
        <f>4315318.81-103717.95</f>
        <v>4211600.8599999994</v>
      </c>
      <c r="I7" s="14">
        <f>4849427.24-40209.66</f>
        <v>4809217.58</v>
      </c>
      <c r="J7" s="14"/>
      <c r="K7" s="14"/>
      <c r="L7" s="14"/>
      <c r="M7" s="14"/>
      <c r="N7" s="39">
        <v>1773</v>
      </c>
      <c r="O7" s="39">
        <f t="shared" si="0"/>
        <v>248</v>
      </c>
      <c r="P7" s="39">
        <v>1</v>
      </c>
      <c r="Q7" s="39">
        <v>1</v>
      </c>
      <c r="R7" s="39" t="s">
        <v>66</v>
      </c>
    </row>
    <row r="8" spans="1:18" ht="45" x14ac:dyDescent="0.25">
      <c r="A8" s="4" t="s">
        <v>88</v>
      </c>
      <c r="B8" s="5">
        <v>62650</v>
      </c>
      <c r="C8" s="5">
        <v>590860</v>
      </c>
      <c r="D8" s="5">
        <v>1619734</v>
      </c>
      <c r="E8" s="5">
        <v>1254068</v>
      </c>
      <c r="F8" s="5">
        <f>1390299-62650</f>
        <v>1327649</v>
      </c>
      <c r="G8" s="5">
        <f>2612363-590860</f>
        <v>2021503</v>
      </c>
      <c r="H8" s="5">
        <f>3392407-1619734</f>
        <v>1772673</v>
      </c>
      <c r="I8" s="5">
        <f>3873235-1254068</f>
        <v>2619167</v>
      </c>
      <c r="J8" s="5"/>
      <c r="K8" s="5"/>
      <c r="L8" s="5"/>
      <c r="M8" s="5"/>
      <c r="N8" s="39">
        <v>1995</v>
      </c>
      <c r="O8" s="39">
        <f t="shared" si="0"/>
        <v>26</v>
      </c>
      <c r="P8" s="39">
        <v>1</v>
      </c>
      <c r="Q8" s="39">
        <v>1</v>
      </c>
      <c r="R8" s="39" t="s">
        <v>5</v>
      </c>
    </row>
    <row r="9" spans="1:18" s="22" customFormat="1" ht="60" x14ac:dyDescent="0.25">
      <c r="A9" s="18" t="s">
        <v>146</v>
      </c>
      <c r="B9" s="21">
        <f>110473</f>
        <v>110473</v>
      </c>
      <c r="C9" s="21">
        <f>31800+6076.97</f>
        <v>37876.97</v>
      </c>
      <c r="D9" s="21" t="s">
        <v>115</v>
      </c>
      <c r="E9" s="21" t="s">
        <v>115</v>
      </c>
      <c r="F9" s="21">
        <v>7204185.0499999998</v>
      </c>
      <c r="G9" s="21">
        <v>8154951.0599999996</v>
      </c>
      <c r="H9" s="21" t="s">
        <v>115</v>
      </c>
      <c r="I9" s="21" t="s">
        <v>115</v>
      </c>
      <c r="J9" s="21"/>
      <c r="K9" s="21"/>
      <c r="L9" s="21"/>
      <c r="M9" s="21"/>
      <c r="N9" s="52">
        <v>2005</v>
      </c>
      <c r="O9" s="52">
        <f t="shared" si="0"/>
        <v>16</v>
      </c>
      <c r="P9" s="52">
        <v>4</v>
      </c>
      <c r="Q9" s="52">
        <v>1</v>
      </c>
      <c r="R9" s="52" t="s">
        <v>147</v>
      </c>
    </row>
    <row r="10" spans="1:18" x14ac:dyDescent="0.25">
      <c r="A10" s="4" t="s">
        <v>156</v>
      </c>
      <c r="B10" s="5">
        <v>854516</v>
      </c>
      <c r="C10" s="5">
        <v>547328</v>
      </c>
      <c r="D10" s="5">
        <v>1121591</v>
      </c>
      <c r="E10" s="5">
        <v>833899</v>
      </c>
      <c r="F10" s="5">
        <v>1105885</v>
      </c>
      <c r="G10" s="5">
        <v>1190333</v>
      </c>
      <c r="H10" s="5">
        <v>1374779</v>
      </c>
      <c r="I10" s="5">
        <v>1636656</v>
      </c>
      <c r="J10" s="5"/>
      <c r="K10" s="5"/>
      <c r="L10" s="5"/>
      <c r="M10" s="5"/>
      <c r="N10" s="39">
        <v>2011</v>
      </c>
      <c r="O10" s="39">
        <f t="shared" si="0"/>
        <v>10</v>
      </c>
      <c r="P10" s="39">
        <v>1</v>
      </c>
      <c r="Q10" s="39">
        <v>1</v>
      </c>
      <c r="R10" s="39" t="s">
        <v>5</v>
      </c>
    </row>
    <row r="11" spans="1:18" ht="41.45" customHeight="1" x14ac:dyDescent="0.25">
      <c r="A11" s="4" t="s">
        <v>163</v>
      </c>
      <c r="B11" s="5">
        <v>2201922</v>
      </c>
      <c r="C11" s="5">
        <v>3053026</v>
      </c>
      <c r="D11" s="5">
        <v>1896604</v>
      </c>
      <c r="E11" s="5">
        <v>1499082</v>
      </c>
      <c r="F11" s="5">
        <f>1913025</f>
        <v>1913025</v>
      </c>
      <c r="G11" s="5">
        <f>1949539</f>
        <v>1949539</v>
      </c>
      <c r="H11" s="5">
        <f>1900616</f>
        <v>1900616</v>
      </c>
      <c r="I11" s="5">
        <f>2987540</f>
        <v>2987540</v>
      </c>
      <c r="J11" s="5"/>
      <c r="K11" s="5"/>
      <c r="L11" s="5"/>
      <c r="M11" s="5"/>
      <c r="N11" s="39">
        <v>2001</v>
      </c>
      <c r="O11" s="39">
        <f t="shared" si="0"/>
        <v>20</v>
      </c>
      <c r="P11" s="39">
        <v>4</v>
      </c>
      <c r="Q11" s="39">
        <v>1</v>
      </c>
      <c r="R11" s="39" t="s">
        <v>5</v>
      </c>
    </row>
    <row r="12" spans="1:18" ht="30" x14ac:dyDescent="0.25">
      <c r="A12" s="4" t="s">
        <v>165</v>
      </c>
      <c r="B12" s="5">
        <f>277136+8113432</f>
        <v>8390568</v>
      </c>
      <c r="C12" s="5">
        <f>1791413+6449861</f>
        <v>8241274</v>
      </c>
      <c r="D12" s="5">
        <v>6737811</v>
      </c>
      <c r="E12" s="5">
        <v>5527121</v>
      </c>
      <c r="F12" s="5">
        <f>2951417+62282</f>
        <v>3013699</v>
      </c>
      <c r="G12" s="5">
        <v>2190640</v>
      </c>
      <c r="H12" s="5">
        <f>3944824+5640</f>
        <v>3950464</v>
      </c>
      <c r="I12" s="5">
        <f>5822991+7186</f>
        <v>5830177</v>
      </c>
      <c r="J12" s="5"/>
      <c r="K12" s="5"/>
      <c r="L12" s="5"/>
      <c r="M12" s="5"/>
      <c r="N12" s="39">
        <v>1978</v>
      </c>
      <c r="O12" s="39">
        <f t="shared" si="0"/>
        <v>43</v>
      </c>
      <c r="P12" s="39">
        <v>1</v>
      </c>
      <c r="Q12" s="39">
        <v>1</v>
      </c>
      <c r="R12" s="39" t="s">
        <v>166</v>
      </c>
    </row>
    <row r="13" spans="1:18" ht="30" x14ac:dyDescent="0.25">
      <c r="A13" s="4" t="s">
        <v>168</v>
      </c>
      <c r="B13" s="5">
        <v>6202852.2800000003</v>
      </c>
      <c r="C13" s="5">
        <v>6555081.9400000004</v>
      </c>
      <c r="D13" s="5">
        <v>6488885.0099999998</v>
      </c>
      <c r="E13" s="5">
        <v>6253222.4000000004</v>
      </c>
      <c r="F13" s="5">
        <f>45675806.79</f>
        <v>45675806.789999999</v>
      </c>
      <c r="G13" s="5">
        <f>43757982.4</f>
        <v>43757982.399999999</v>
      </c>
      <c r="H13" s="5">
        <f>559530.96+39142298.24+4290958.83+101802.92+1225837.86</f>
        <v>45320428.810000002</v>
      </c>
      <c r="I13" s="5">
        <f>404550.14+24258716.74+61198.75+246534.73</f>
        <v>24971000.359999999</v>
      </c>
      <c r="J13" s="5"/>
      <c r="K13" s="5"/>
      <c r="L13" s="5"/>
      <c r="M13" s="5"/>
      <c r="N13" s="39">
        <v>1963</v>
      </c>
      <c r="O13" s="39">
        <f t="shared" si="0"/>
        <v>58</v>
      </c>
      <c r="P13" s="39">
        <v>1</v>
      </c>
      <c r="Q13" s="39">
        <v>1</v>
      </c>
      <c r="R13" s="39" t="s">
        <v>171</v>
      </c>
    </row>
    <row r="14" spans="1:18" ht="45" x14ac:dyDescent="0.25">
      <c r="A14" s="4" t="s">
        <v>180</v>
      </c>
      <c r="B14" s="5">
        <v>4294875</v>
      </c>
      <c r="C14" s="5">
        <v>6325483</v>
      </c>
      <c r="D14" s="5">
        <v>5431974</v>
      </c>
      <c r="E14" s="5">
        <v>7553021</v>
      </c>
      <c r="F14" s="5">
        <f>80517582-4294875</f>
        <v>76222707</v>
      </c>
      <c r="G14" s="5">
        <f>84392188-6325483</f>
        <v>78066705</v>
      </c>
      <c r="H14" s="5">
        <f>87229546-5431974</f>
        <v>81797572</v>
      </c>
      <c r="I14" s="5">
        <f>89600590-7553021</f>
        <v>82047569</v>
      </c>
      <c r="J14" s="5"/>
      <c r="K14" s="5"/>
      <c r="L14" s="5"/>
      <c r="M14" s="5"/>
      <c r="N14" s="39">
        <v>1980</v>
      </c>
      <c r="O14" s="39">
        <f t="shared" si="0"/>
        <v>41</v>
      </c>
      <c r="P14" s="39">
        <v>3</v>
      </c>
      <c r="Q14" s="39">
        <v>1</v>
      </c>
      <c r="R14" s="39" t="s">
        <v>181</v>
      </c>
    </row>
    <row r="15" spans="1:18" s="22" customFormat="1" x14ac:dyDescent="0.25">
      <c r="A15" s="18" t="s">
        <v>183</v>
      </c>
      <c r="B15" s="21">
        <f>5919564+83760+69884+305002+240000</f>
        <v>6618210</v>
      </c>
      <c r="C15" s="21">
        <f>6650615+66013+318638+240000</f>
        <v>7275266</v>
      </c>
      <c r="D15" s="21" t="s">
        <v>115</v>
      </c>
      <c r="E15" s="21" t="s">
        <v>115</v>
      </c>
      <c r="F15" s="21">
        <f>156372+25905-17081</f>
        <v>165196</v>
      </c>
      <c r="G15" s="21">
        <f>287660+19740-85718</f>
        <v>221682</v>
      </c>
      <c r="H15" s="21" t="s">
        <v>115</v>
      </c>
      <c r="I15" s="21" t="s">
        <v>115</v>
      </c>
      <c r="J15" s="21"/>
      <c r="K15" s="21"/>
      <c r="L15" s="21"/>
      <c r="M15" s="21"/>
      <c r="N15" s="52">
        <v>1997</v>
      </c>
      <c r="O15" s="52">
        <f t="shared" si="0"/>
        <v>24</v>
      </c>
      <c r="P15" s="52">
        <v>1</v>
      </c>
      <c r="Q15" s="52">
        <v>1</v>
      </c>
      <c r="R15" s="52" t="s">
        <v>185</v>
      </c>
    </row>
    <row r="16" spans="1:18" s="15" customFormat="1" x14ac:dyDescent="0.25">
      <c r="A16" s="11" t="s">
        <v>197</v>
      </c>
      <c r="B16" s="14">
        <v>7689676</v>
      </c>
      <c r="C16" s="14">
        <v>7039364</v>
      </c>
      <c r="D16" s="14">
        <v>7971142</v>
      </c>
      <c r="E16" s="14">
        <v>7245338</v>
      </c>
      <c r="F16" s="14">
        <f>2744902-24677</f>
        <v>2720225</v>
      </c>
      <c r="G16" s="14">
        <f>2091835--49697</f>
        <v>2141532</v>
      </c>
      <c r="H16" s="14">
        <f>2548025-33980</f>
        <v>2514045</v>
      </c>
      <c r="I16" s="14">
        <v>2947132</v>
      </c>
      <c r="J16" s="14"/>
      <c r="K16" s="14"/>
      <c r="L16" s="14"/>
      <c r="M16" s="14"/>
      <c r="N16" s="44">
        <v>1998</v>
      </c>
      <c r="O16" s="44">
        <f t="shared" si="0"/>
        <v>23</v>
      </c>
      <c r="P16" s="44">
        <v>2</v>
      </c>
      <c r="Q16" s="44">
        <v>2</v>
      </c>
      <c r="R16" s="44" t="s">
        <v>5</v>
      </c>
    </row>
    <row r="17" spans="1:18" s="15" customFormat="1" ht="30" x14ac:dyDescent="0.25">
      <c r="A17" s="11" t="s">
        <v>202</v>
      </c>
      <c r="B17" s="14">
        <f>5499498</f>
        <v>5499498</v>
      </c>
      <c r="C17" s="14">
        <v>5292921</v>
      </c>
      <c r="D17" s="14">
        <f>5278625</f>
        <v>5278625</v>
      </c>
      <c r="E17" s="14">
        <v>3531207</v>
      </c>
      <c r="F17" s="14">
        <f>12777838-172943</f>
        <v>12604895</v>
      </c>
      <c r="G17" s="14">
        <f>12336605-273664</f>
        <v>12062941</v>
      </c>
      <c r="H17" s="14">
        <f>20737771-61226</f>
        <v>20676545</v>
      </c>
      <c r="I17" s="14">
        <f>544841+42842253</f>
        <v>43387094</v>
      </c>
      <c r="J17" s="14"/>
      <c r="K17" s="14"/>
      <c r="L17" s="14"/>
      <c r="M17" s="14"/>
      <c r="N17" s="44">
        <v>1946</v>
      </c>
      <c r="O17" s="44">
        <f t="shared" si="0"/>
        <v>75</v>
      </c>
      <c r="P17" s="44">
        <v>1</v>
      </c>
      <c r="Q17" s="44">
        <v>2</v>
      </c>
      <c r="R17" s="44" t="s">
        <v>5</v>
      </c>
    </row>
    <row r="18" spans="1:18" ht="30" x14ac:dyDescent="0.25">
      <c r="A18" s="4" t="s">
        <v>205</v>
      </c>
      <c r="B18" s="5">
        <v>24650000</v>
      </c>
      <c r="C18" s="5">
        <v>27475000</v>
      </c>
      <c r="D18" s="5">
        <v>28395000</v>
      </c>
      <c r="E18" s="5">
        <v>26937000</v>
      </c>
      <c r="F18" s="5">
        <v>5425000</v>
      </c>
      <c r="G18" s="5">
        <v>3983000</v>
      </c>
      <c r="H18" s="5">
        <v>2874000</v>
      </c>
      <c r="I18" s="5">
        <v>2468000</v>
      </c>
      <c r="J18" s="5"/>
      <c r="K18" s="5"/>
      <c r="L18" s="5"/>
      <c r="M18" s="5"/>
      <c r="N18" s="39">
        <v>2008</v>
      </c>
      <c r="O18" s="39">
        <f t="shared" si="0"/>
        <v>13</v>
      </c>
      <c r="P18" s="39">
        <v>4</v>
      </c>
      <c r="Q18" s="39">
        <v>2</v>
      </c>
      <c r="R18" s="39" t="s">
        <v>147</v>
      </c>
    </row>
    <row r="19" spans="1:18" x14ac:dyDescent="0.25">
      <c r="A19" s="4" t="s">
        <v>237</v>
      </c>
      <c r="B19" s="5">
        <f>131698</f>
        <v>131698</v>
      </c>
      <c r="C19" s="5">
        <v>408948</v>
      </c>
      <c r="D19" s="5">
        <v>246962</v>
      </c>
      <c r="E19" s="5">
        <v>221326</v>
      </c>
      <c r="F19" s="5">
        <f>4368938+105345</f>
        <v>4474283</v>
      </c>
      <c r="G19" s="5">
        <f>4801448+196242</f>
        <v>4997690</v>
      </c>
      <c r="H19" s="5">
        <f>5868607+9309+4406</f>
        <v>5882322</v>
      </c>
      <c r="I19" s="5">
        <f>5449445+35242+65000</f>
        <v>5549687</v>
      </c>
      <c r="J19" s="5"/>
      <c r="K19" s="5"/>
      <c r="L19" s="5"/>
      <c r="M19" s="5"/>
      <c r="N19" s="39">
        <v>1995</v>
      </c>
      <c r="O19" s="39">
        <f t="shared" si="0"/>
        <v>26</v>
      </c>
      <c r="P19" s="39">
        <v>3</v>
      </c>
      <c r="Q19" s="39">
        <v>1</v>
      </c>
      <c r="R19" s="39" t="s">
        <v>239</v>
      </c>
    </row>
    <row r="20" spans="1:18" x14ac:dyDescent="0.25">
      <c r="A20" s="4" t="s">
        <v>248</v>
      </c>
      <c r="B20" s="5">
        <v>1037171</v>
      </c>
      <c r="C20" s="5">
        <v>2441803</v>
      </c>
      <c r="D20" s="5">
        <v>2310770</v>
      </c>
      <c r="E20" s="5">
        <v>1666983</v>
      </c>
      <c r="F20" s="5">
        <f>750595+641230+7882+20662</f>
        <v>1420369</v>
      </c>
      <c r="G20" s="5">
        <f>745071+1368977+33869+44306</f>
        <v>2192223</v>
      </c>
      <c r="H20" s="5">
        <f>2271602+1296627+3026+147779</f>
        <v>3719034</v>
      </c>
      <c r="I20" s="5">
        <f>2592705+1113597+1716+50689</f>
        <v>3758707</v>
      </c>
      <c r="J20" s="5"/>
      <c r="K20" s="5"/>
      <c r="L20" s="5"/>
      <c r="M20" s="5"/>
      <c r="N20" s="39">
        <v>2001</v>
      </c>
      <c r="O20" s="39">
        <f t="shared" si="0"/>
        <v>20</v>
      </c>
      <c r="P20" s="39">
        <v>2</v>
      </c>
      <c r="Q20" s="39">
        <v>1</v>
      </c>
      <c r="R20" s="39" t="s">
        <v>5</v>
      </c>
    </row>
    <row r="21" spans="1:18" ht="45" x14ac:dyDescent="0.25">
      <c r="A21" s="4" t="s">
        <v>258</v>
      </c>
      <c r="B21" s="5">
        <v>6632229</v>
      </c>
      <c r="C21" s="5">
        <v>7310497</v>
      </c>
      <c r="D21" s="5">
        <v>8611225</v>
      </c>
      <c r="E21" s="5">
        <v>3511117</v>
      </c>
      <c r="F21" s="5">
        <f>11942958-6632229</f>
        <v>5310729</v>
      </c>
      <c r="G21" s="5">
        <f>14266344-7310497</f>
        <v>6955847</v>
      </c>
      <c r="H21" s="5">
        <f>16427062-8611225</f>
        <v>7815837</v>
      </c>
      <c r="I21" s="5">
        <v>8174794</v>
      </c>
      <c r="J21" s="5"/>
      <c r="K21" s="5"/>
      <c r="L21" s="5"/>
      <c r="M21" s="5"/>
      <c r="N21" s="39">
        <v>1998</v>
      </c>
      <c r="O21" s="39">
        <f t="shared" si="0"/>
        <v>23</v>
      </c>
      <c r="P21" s="39">
        <v>3</v>
      </c>
      <c r="Q21" s="39">
        <v>1</v>
      </c>
      <c r="R21" s="39" t="s">
        <v>5</v>
      </c>
    </row>
    <row r="22" spans="1:18" ht="30" x14ac:dyDescent="0.25">
      <c r="A22" s="4" t="s">
        <v>261</v>
      </c>
      <c r="B22" s="5">
        <v>2182052</v>
      </c>
      <c r="C22" s="5">
        <v>1932655</v>
      </c>
      <c r="D22" s="5">
        <v>983000</v>
      </c>
      <c r="E22" s="5">
        <v>1247489</v>
      </c>
      <c r="F22" s="5">
        <f>7864039+27891+303242</f>
        <v>8195172</v>
      </c>
      <c r="G22" s="5">
        <f>8122715+10115+221252</f>
        <v>8354082</v>
      </c>
      <c r="H22" s="5">
        <f>8869209+293518+202675</f>
        <v>9365402</v>
      </c>
      <c r="I22" s="5">
        <f>7702489+52321+89636</f>
        <v>7844446</v>
      </c>
      <c r="J22" s="5"/>
      <c r="K22" s="5"/>
      <c r="L22" s="5"/>
      <c r="M22" s="5"/>
      <c r="N22" s="39">
        <v>1964</v>
      </c>
      <c r="O22" s="39">
        <f t="shared" si="0"/>
        <v>57</v>
      </c>
      <c r="P22" s="39">
        <v>3</v>
      </c>
      <c r="Q22" s="39">
        <v>1</v>
      </c>
      <c r="R22" s="39" t="s">
        <v>17</v>
      </c>
    </row>
    <row r="23" spans="1:18" s="22" customFormat="1" x14ac:dyDescent="0.25">
      <c r="A23" s="18" t="s">
        <v>264</v>
      </c>
      <c r="B23" s="21" t="s">
        <v>115</v>
      </c>
      <c r="C23" s="21" t="s">
        <v>115</v>
      </c>
      <c r="D23" s="21">
        <v>3860440</v>
      </c>
      <c r="E23" s="21">
        <v>7262150</v>
      </c>
      <c r="F23" s="21" t="s">
        <v>115</v>
      </c>
      <c r="G23" s="21" t="s">
        <v>115</v>
      </c>
      <c r="H23" s="21">
        <v>2528465</v>
      </c>
      <c r="I23" s="21">
        <v>4182526</v>
      </c>
      <c r="J23" s="21"/>
      <c r="K23" s="21"/>
      <c r="L23" s="21"/>
      <c r="M23" s="21"/>
      <c r="N23" s="52">
        <v>2000</v>
      </c>
      <c r="O23" s="52">
        <f t="shared" ref="O23:O27" si="1">2021-N23</f>
        <v>21</v>
      </c>
      <c r="P23" s="52">
        <v>2</v>
      </c>
      <c r="Q23" s="52">
        <v>1</v>
      </c>
      <c r="R23" s="52" t="s">
        <v>35</v>
      </c>
    </row>
    <row r="24" spans="1:18" ht="45" x14ac:dyDescent="0.25">
      <c r="A24" s="4" t="s">
        <v>295</v>
      </c>
      <c r="B24" s="5">
        <f>2540129.55+5103621.63+896458.49</f>
        <v>8540209.6699999999</v>
      </c>
      <c r="C24" s="5">
        <f>2715818.49+5191601.66+770407.02</f>
        <v>8677827.1699999999</v>
      </c>
      <c r="D24" s="5">
        <f>2614330.24+5218852.54+8473647.36</f>
        <v>16306830.140000001</v>
      </c>
      <c r="E24" s="5">
        <f>2541939.97+3639469.34+3919183.26</f>
        <v>10100592.57</v>
      </c>
      <c r="F24" s="5">
        <f>67860.31+884.8+6869820.57+2953154.36</f>
        <v>9891720.040000001</v>
      </c>
      <c r="G24" s="5">
        <f>102055.39+13932.19+7155224.29+3256669.11</f>
        <v>10527880.98</v>
      </c>
      <c r="H24" s="5">
        <f>16981.48+121388.36+7415420.01+3477255.36</f>
        <v>11031045.209999999</v>
      </c>
      <c r="I24" s="5">
        <f>9380.38+7829400.17+3163154.97</f>
        <v>11001935.52</v>
      </c>
      <c r="J24" s="5"/>
      <c r="K24" s="5"/>
      <c r="L24" s="5"/>
      <c r="M24" s="5"/>
      <c r="N24" s="39">
        <v>1969</v>
      </c>
      <c r="O24" s="39">
        <f t="shared" si="1"/>
        <v>52</v>
      </c>
      <c r="P24" s="39">
        <v>3</v>
      </c>
      <c r="Q24" s="39">
        <v>1</v>
      </c>
      <c r="R24" s="39" t="s">
        <v>297</v>
      </c>
    </row>
    <row r="25" spans="1:18" ht="30" x14ac:dyDescent="0.25">
      <c r="A25" s="4" t="s">
        <v>311</v>
      </c>
      <c r="B25" s="5">
        <v>4776000</v>
      </c>
      <c r="C25" s="5">
        <v>2937000</v>
      </c>
      <c r="D25" s="5">
        <v>3939000</v>
      </c>
      <c r="E25" s="5">
        <v>2793000</v>
      </c>
      <c r="F25" s="5">
        <v>10630000</v>
      </c>
      <c r="G25" s="5">
        <v>13203000</v>
      </c>
      <c r="H25" s="5">
        <v>15386000</v>
      </c>
      <c r="I25" s="5">
        <v>12522000</v>
      </c>
      <c r="J25" s="5"/>
      <c r="K25" s="5"/>
      <c r="L25" s="5"/>
      <c r="M25" s="5"/>
      <c r="N25" s="39">
        <v>1967</v>
      </c>
      <c r="O25" s="39">
        <f t="shared" si="1"/>
        <v>54</v>
      </c>
      <c r="P25" s="39">
        <v>1</v>
      </c>
      <c r="Q25" s="39">
        <v>1</v>
      </c>
      <c r="R25" s="39" t="s">
        <v>5</v>
      </c>
    </row>
    <row r="26" spans="1:18" ht="60" x14ac:dyDescent="0.25">
      <c r="A26" s="4" t="s">
        <v>313</v>
      </c>
      <c r="B26" s="5">
        <v>1189829.01</v>
      </c>
      <c r="C26" s="5">
        <v>538997.66</v>
      </c>
      <c r="D26" s="5">
        <v>1393170.3</v>
      </c>
      <c r="E26" s="5">
        <v>1021002.017</v>
      </c>
      <c r="F26" s="5">
        <v>10078207.130000001</v>
      </c>
      <c r="G26" s="5">
        <v>10191490.799999999</v>
      </c>
      <c r="H26" s="5">
        <v>8086319.4900000012</v>
      </c>
      <c r="I26" s="5">
        <v>7768575.7230000002</v>
      </c>
      <c r="J26" s="5"/>
      <c r="K26" s="5"/>
      <c r="L26" s="5"/>
      <c r="M26" s="5"/>
      <c r="N26" s="39">
        <v>1986</v>
      </c>
      <c r="O26" s="39">
        <f t="shared" si="1"/>
        <v>35</v>
      </c>
      <c r="P26" s="39">
        <v>3</v>
      </c>
      <c r="Q26" s="39">
        <v>1</v>
      </c>
      <c r="R26" s="39" t="s">
        <v>192</v>
      </c>
    </row>
    <row r="27" spans="1:18" ht="60" x14ac:dyDescent="0.25">
      <c r="A27" s="4" t="s">
        <v>316</v>
      </c>
      <c r="B27" s="5">
        <v>1752486</v>
      </c>
      <c r="C27" s="5">
        <v>1695193</v>
      </c>
      <c r="D27" s="5">
        <v>1723205</v>
      </c>
      <c r="E27" s="5">
        <v>1865855</v>
      </c>
      <c r="F27" s="5">
        <v>1022508</v>
      </c>
      <c r="G27" s="5">
        <v>1380991</v>
      </c>
      <c r="H27" s="5">
        <v>1911529</v>
      </c>
      <c r="I27" s="5">
        <v>2142323</v>
      </c>
      <c r="J27" s="5"/>
      <c r="K27" s="5"/>
      <c r="L27" s="5"/>
      <c r="M27" s="5"/>
      <c r="N27" s="39">
        <v>2000</v>
      </c>
      <c r="O27" s="39">
        <f t="shared" si="1"/>
        <v>21</v>
      </c>
      <c r="P27" s="39">
        <v>1</v>
      </c>
      <c r="Q27" s="39">
        <v>1</v>
      </c>
      <c r="R27" s="39" t="s">
        <v>5</v>
      </c>
    </row>
    <row r="28" spans="1:18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39"/>
      <c r="O28" s="39"/>
      <c r="P28" s="39"/>
      <c r="Q28" s="39"/>
      <c r="R28" s="39"/>
    </row>
    <row r="29" spans="1:18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39"/>
      <c r="O29" s="39"/>
      <c r="P29" s="39"/>
      <c r="Q29" s="39"/>
      <c r="R29" s="39"/>
    </row>
    <row r="30" spans="1:18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9"/>
      <c r="O30" s="39"/>
      <c r="P30" s="39"/>
      <c r="Q30" s="39"/>
      <c r="R30" s="39"/>
    </row>
    <row r="31" spans="1:18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39"/>
      <c r="O31" s="39"/>
      <c r="P31" s="39"/>
      <c r="Q31" s="39"/>
      <c r="R31" s="39"/>
    </row>
    <row r="32" spans="1:18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39"/>
      <c r="O32" s="39"/>
      <c r="P32" s="39"/>
      <c r="Q32" s="39"/>
      <c r="R32" s="39"/>
    </row>
    <row r="33" spans="1:18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39"/>
      <c r="O33" s="39"/>
      <c r="P33" s="39"/>
      <c r="Q33" s="39"/>
      <c r="R33" s="39"/>
    </row>
    <row r="34" spans="1:18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39"/>
      <c r="O34" s="39"/>
      <c r="P34" s="39"/>
      <c r="Q34" s="39"/>
      <c r="R34" s="39"/>
    </row>
    <row r="35" spans="1:18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39"/>
      <c r="O35" s="39"/>
      <c r="P35" s="39"/>
      <c r="Q35" s="39"/>
      <c r="R35" s="39"/>
    </row>
    <row r="36" spans="1:18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39"/>
      <c r="O36" s="39"/>
      <c r="P36" s="39"/>
      <c r="Q36" s="39"/>
      <c r="R36" s="39"/>
    </row>
    <row r="37" spans="1:18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39"/>
      <c r="O37" s="39"/>
      <c r="P37" s="39"/>
      <c r="Q37" s="39"/>
      <c r="R37" s="39"/>
    </row>
    <row r="38" spans="1:18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39"/>
      <c r="O38" s="39"/>
      <c r="P38" s="39"/>
      <c r="Q38" s="39"/>
      <c r="R38" s="39"/>
    </row>
    <row r="39" spans="1:18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39"/>
      <c r="O39" s="39"/>
      <c r="P39" s="39"/>
      <c r="Q39" s="39"/>
      <c r="R39" s="39"/>
    </row>
    <row r="40" spans="1:18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39"/>
      <c r="O40" s="39"/>
      <c r="P40" s="39"/>
      <c r="Q40" s="39"/>
      <c r="R40" s="39"/>
    </row>
    <row r="41" spans="1:18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39"/>
      <c r="O41" s="39"/>
      <c r="P41" s="39"/>
      <c r="Q41" s="39"/>
      <c r="R41" s="39"/>
    </row>
    <row r="42" spans="1:18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39"/>
      <c r="O42" s="39"/>
      <c r="P42" s="39"/>
      <c r="Q42" s="39"/>
      <c r="R42" s="39"/>
    </row>
    <row r="43" spans="1:18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9"/>
      <c r="O43" s="39"/>
      <c r="P43" s="39"/>
      <c r="Q43" s="39"/>
      <c r="R43" s="39"/>
    </row>
    <row r="44" spans="1:18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9"/>
      <c r="O44" s="39"/>
      <c r="P44" s="39"/>
      <c r="Q44" s="39"/>
      <c r="R44" s="39"/>
    </row>
    <row r="45" spans="1:18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9"/>
      <c r="O45" s="39"/>
      <c r="P45" s="39"/>
      <c r="Q45" s="39"/>
      <c r="R45" s="39"/>
    </row>
    <row r="46" spans="1:18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9"/>
      <c r="O46" s="39"/>
      <c r="P46" s="39"/>
      <c r="Q46" s="39"/>
      <c r="R46" s="39"/>
    </row>
    <row r="47" spans="1:18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9"/>
      <c r="O47" s="39"/>
      <c r="P47" s="39"/>
      <c r="Q47" s="39"/>
      <c r="R47" s="39"/>
    </row>
    <row r="48" spans="1:18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9"/>
      <c r="O48" s="39"/>
      <c r="P48" s="39"/>
      <c r="Q48" s="39"/>
      <c r="R48" s="39"/>
    </row>
    <row r="49" spans="1:18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9"/>
      <c r="O49" s="39"/>
      <c r="P49" s="39"/>
      <c r="Q49" s="39"/>
      <c r="R49" s="39"/>
    </row>
    <row r="50" spans="1:18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9"/>
      <c r="O50" s="39"/>
      <c r="P50" s="39"/>
      <c r="Q50" s="39"/>
      <c r="R50" s="39"/>
    </row>
    <row r="51" spans="1:18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9"/>
      <c r="O51" s="39"/>
      <c r="P51" s="39"/>
      <c r="Q51" s="39"/>
      <c r="R51" s="39"/>
    </row>
    <row r="52" spans="1:18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9"/>
      <c r="O52" s="39"/>
      <c r="P52" s="39"/>
      <c r="Q52" s="39"/>
      <c r="R52" s="39"/>
    </row>
    <row r="53" spans="1:18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9"/>
      <c r="O53" s="39"/>
      <c r="P53" s="39"/>
      <c r="Q53" s="39"/>
      <c r="R53" s="39"/>
    </row>
    <row r="54" spans="1:18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9"/>
      <c r="O54" s="39"/>
      <c r="P54" s="39"/>
      <c r="Q54" s="39"/>
      <c r="R54" s="39"/>
    </row>
    <row r="55" spans="1:18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9"/>
      <c r="O55" s="39"/>
      <c r="P55" s="39"/>
      <c r="Q55" s="39"/>
      <c r="R55" s="39"/>
    </row>
    <row r="56" spans="1:18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9"/>
      <c r="O56" s="39"/>
      <c r="P56" s="39"/>
      <c r="Q56" s="39"/>
      <c r="R56" s="39"/>
    </row>
    <row r="57" spans="1:18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9"/>
      <c r="O57" s="39"/>
      <c r="P57" s="39"/>
      <c r="Q57" s="39"/>
      <c r="R57" s="39"/>
    </row>
    <row r="58" spans="1:18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9"/>
      <c r="O58" s="39"/>
      <c r="P58" s="39"/>
      <c r="Q58" s="39"/>
      <c r="R58" s="39"/>
    </row>
    <row r="59" spans="1:18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9"/>
      <c r="O59" s="39"/>
      <c r="P59" s="39"/>
      <c r="Q59" s="39"/>
      <c r="R59" s="39"/>
    </row>
    <row r="60" spans="1:18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9"/>
      <c r="O60" s="39"/>
      <c r="P60" s="39"/>
      <c r="Q60" s="39"/>
      <c r="R60" s="39"/>
    </row>
    <row r="61" spans="1:18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9"/>
      <c r="O61" s="39"/>
      <c r="P61" s="39"/>
      <c r="Q61" s="39"/>
      <c r="R61" s="39"/>
    </row>
    <row r="62" spans="1:18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9"/>
      <c r="O62" s="39"/>
      <c r="P62" s="39"/>
      <c r="Q62" s="39"/>
      <c r="R62" s="39"/>
    </row>
    <row r="63" spans="1:18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39"/>
      <c r="O63" s="39"/>
      <c r="P63" s="39"/>
      <c r="Q63" s="39"/>
      <c r="R63" s="39"/>
    </row>
    <row r="64" spans="1:18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39"/>
      <c r="O64" s="39"/>
      <c r="P64" s="39"/>
      <c r="Q64" s="39"/>
      <c r="R64" s="39"/>
    </row>
    <row r="65" spans="1:18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9"/>
      <c r="O65" s="39"/>
      <c r="P65" s="39"/>
      <c r="Q65" s="39"/>
      <c r="R65" s="39"/>
    </row>
    <row r="66" spans="1:18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9"/>
      <c r="O66" s="39"/>
      <c r="P66" s="39"/>
      <c r="Q66" s="39"/>
      <c r="R66" s="39"/>
    </row>
    <row r="67" spans="1:18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39"/>
      <c r="O67" s="39"/>
      <c r="P67" s="39"/>
      <c r="Q67" s="39"/>
      <c r="R67" s="39"/>
    </row>
    <row r="68" spans="1:18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39"/>
      <c r="O68" s="39"/>
      <c r="P68" s="39"/>
      <c r="Q68" s="39"/>
      <c r="R68" s="39"/>
    </row>
    <row r="69" spans="1:18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39"/>
      <c r="O69" s="39"/>
      <c r="P69" s="39"/>
      <c r="Q69" s="39"/>
      <c r="R69" s="39"/>
    </row>
    <row r="70" spans="1:18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39"/>
      <c r="O70" s="39"/>
      <c r="P70" s="39"/>
      <c r="Q70" s="39"/>
      <c r="R70" s="39"/>
    </row>
    <row r="71" spans="1:18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39"/>
      <c r="O71" s="39"/>
      <c r="P71" s="39"/>
      <c r="Q71" s="39"/>
      <c r="R71" s="39"/>
    </row>
    <row r="72" spans="1:18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9"/>
      <c r="O72" s="39"/>
      <c r="P72" s="39"/>
      <c r="Q72" s="39"/>
      <c r="R72" s="39"/>
    </row>
    <row r="73" spans="1:18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9"/>
      <c r="O73" s="39"/>
      <c r="P73" s="39"/>
      <c r="Q73" s="39"/>
      <c r="R73" s="39"/>
    </row>
    <row r="74" spans="1:18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9"/>
      <c r="O74" s="39"/>
      <c r="P74" s="39"/>
      <c r="Q74" s="39"/>
      <c r="R74" s="39"/>
    </row>
    <row r="75" spans="1:18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9"/>
      <c r="O75" s="39"/>
      <c r="P75" s="39"/>
      <c r="Q75" s="39"/>
      <c r="R75" s="39"/>
    </row>
    <row r="76" spans="1:18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39"/>
      <c r="O76" s="39"/>
      <c r="P76" s="39"/>
      <c r="Q76" s="39"/>
      <c r="R76" s="39"/>
    </row>
    <row r="77" spans="1:18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39"/>
      <c r="O77" s="39"/>
      <c r="P77" s="39"/>
      <c r="Q77" s="39"/>
      <c r="R77" s="39"/>
    </row>
    <row r="78" spans="1:18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39"/>
      <c r="O78" s="39"/>
      <c r="P78" s="39"/>
      <c r="Q78" s="39"/>
      <c r="R78" s="39"/>
    </row>
    <row r="79" spans="1:18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39"/>
      <c r="O79" s="39"/>
      <c r="P79" s="39"/>
      <c r="Q79" s="39"/>
      <c r="R79" s="39"/>
    </row>
    <row r="80" spans="1:18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39"/>
      <c r="O80" s="39"/>
      <c r="P80" s="39"/>
      <c r="Q80" s="39"/>
      <c r="R80" s="39"/>
    </row>
    <row r="81" spans="1:18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39"/>
      <c r="O81" s="39"/>
      <c r="P81" s="39"/>
      <c r="Q81" s="39"/>
      <c r="R81" s="39"/>
    </row>
    <row r="82" spans="1:18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39"/>
      <c r="O82" s="39"/>
      <c r="P82" s="39"/>
      <c r="Q82" s="39"/>
      <c r="R82" s="39"/>
    </row>
    <row r="83" spans="1:18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39"/>
      <c r="O83" s="39"/>
      <c r="P83" s="39"/>
      <c r="Q83" s="39"/>
      <c r="R83" s="39"/>
    </row>
    <row r="84" spans="1:18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39"/>
      <c r="O84" s="39"/>
      <c r="P84" s="39"/>
      <c r="Q84" s="39"/>
      <c r="R84" s="39"/>
    </row>
    <row r="85" spans="1:18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39"/>
      <c r="O85" s="39"/>
      <c r="P85" s="39"/>
      <c r="Q85" s="39"/>
      <c r="R85" s="39"/>
    </row>
    <row r="86" spans="1:18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39"/>
      <c r="O86" s="39"/>
      <c r="P86" s="39"/>
      <c r="Q86" s="39"/>
      <c r="R86" s="39"/>
    </row>
    <row r="87" spans="1:18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39"/>
      <c r="O87" s="39"/>
      <c r="P87" s="39"/>
      <c r="Q87" s="39"/>
      <c r="R87" s="39"/>
    </row>
    <row r="88" spans="1:18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39"/>
      <c r="O88" s="39"/>
      <c r="P88" s="39"/>
      <c r="Q88" s="39"/>
      <c r="R88" s="39"/>
    </row>
    <row r="89" spans="1:18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39"/>
      <c r="O89" s="39"/>
      <c r="P89" s="39"/>
      <c r="Q89" s="39"/>
      <c r="R89" s="39"/>
    </row>
    <row r="90" spans="1:18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39"/>
      <c r="O90" s="39"/>
      <c r="P90" s="39"/>
      <c r="Q90" s="39"/>
      <c r="R90" s="39"/>
    </row>
    <row r="91" spans="1:18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39"/>
      <c r="O91" s="39"/>
      <c r="P91" s="39"/>
      <c r="Q91" s="39"/>
      <c r="R91" s="39"/>
    </row>
    <row r="92" spans="1:18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39"/>
      <c r="O92" s="39"/>
      <c r="P92" s="39"/>
      <c r="Q92" s="39"/>
      <c r="R92" s="39"/>
    </row>
    <row r="93" spans="1:18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39"/>
      <c r="O93" s="39"/>
      <c r="P93" s="39"/>
      <c r="Q93" s="39"/>
      <c r="R93" s="39"/>
    </row>
    <row r="94" spans="1:18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39"/>
      <c r="O94" s="39"/>
      <c r="P94" s="39"/>
      <c r="Q94" s="39"/>
      <c r="R94" s="39"/>
    </row>
    <row r="95" spans="1:18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39"/>
      <c r="O95" s="39"/>
      <c r="P95" s="39"/>
      <c r="Q95" s="39"/>
      <c r="R95" s="39"/>
    </row>
    <row r="96" spans="1:18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39"/>
      <c r="O96" s="39"/>
      <c r="P96" s="39"/>
      <c r="Q96" s="39"/>
      <c r="R96" s="39"/>
    </row>
    <row r="97" spans="1:18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39"/>
      <c r="O97" s="39"/>
      <c r="P97" s="39"/>
      <c r="Q97" s="39"/>
      <c r="R97" s="39"/>
    </row>
    <row r="98" spans="1:18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39"/>
      <c r="O98" s="39"/>
      <c r="P98" s="39"/>
      <c r="Q98" s="39"/>
      <c r="R98" s="39"/>
    </row>
    <row r="99" spans="1:18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39"/>
      <c r="O99" s="39"/>
      <c r="P99" s="39"/>
      <c r="Q99" s="39"/>
      <c r="R99" s="39"/>
    </row>
    <row r="100" spans="1:18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39"/>
      <c r="O100" s="39"/>
      <c r="P100" s="39"/>
      <c r="Q100" s="39"/>
      <c r="R100" s="39"/>
    </row>
    <row r="101" spans="1:18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39"/>
      <c r="O101" s="39"/>
      <c r="P101" s="39"/>
      <c r="Q101" s="39"/>
      <c r="R101" s="39"/>
    </row>
    <row r="102" spans="1:18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39"/>
      <c r="O102" s="39"/>
      <c r="P102" s="39"/>
      <c r="Q102" s="39"/>
      <c r="R102" s="39"/>
    </row>
    <row r="103" spans="1:18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39"/>
      <c r="O103" s="39"/>
      <c r="P103" s="39"/>
      <c r="Q103" s="39"/>
      <c r="R103" s="39"/>
    </row>
    <row r="104" spans="1:18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39"/>
      <c r="O104" s="39"/>
      <c r="P104" s="39"/>
      <c r="Q104" s="39"/>
      <c r="R104" s="39"/>
    </row>
    <row r="105" spans="1:18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39"/>
      <c r="O105" s="39"/>
      <c r="P105" s="39"/>
      <c r="Q105" s="39"/>
      <c r="R105" s="39"/>
    </row>
    <row r="106" spans="1:18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39"/>
      <c r="O106" s="39"/>
      <c r="P106" s="39"/>
      <c r="Q106" s="39"/>
      <c r="R106" s="39"/>
    </row>
    <row r="107" spans="1:18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39"/>
      <c r="O107" s="39"/>
      <c r="P107" s="39"/>
      <c r="Q107" s="39"/>
      <c r="R107" s="39"/>
    </row>
    <row r="108" spans="1:18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39"/>
      <c r="O108" s="39"/>
      <c r="P108" s="39"/>
      <c r="Q108" s="39"/>
      <c r="R108" s="39"/>
    </row>
    <row r="109" spans="1:18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39"/>
      <c r="O109" s="39"/>
      <c r="P109" s="39"/>
      <c r="Q109" s="39"/>
      <c r="R109" s="39"/>
    </row>
    <row r="110" spans="1:18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39"/>
      <c r="O110" s="39"/>
      <c r="P110" s="39"/>
      <c r="Q110" s="39"/>
      <c r="R110" s="39"/>
    </row>
    <row r="111" spans="1:18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39"/>
      <c r="O111" s="39"/>
      <c r="P111" s="39"/>
      <c r="Q111" s="39"/>
      <c r="R111" s="39"/>
    </row>
    <row r="112" spans="1:18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39"/>
      <c r="O112" s="39"/>
      <c r="P112" s="39"/>
      <c r="Q112" s="39"/>
      <c r="R112" s="39"/>
    </row>
    <row r="113" spans="1:18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39"/>
      <c r="O113" s="39"/>
      <c r="P113" s="39"/>
      <c r="Q113" s="39"/>
      <c r="R113" s="39"/>
    </row>
    <row r="114" spans="1:18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39"/>
      <c r="O114" s="39"/>
      <c r="P114" s="39"/>
      <c r="Q114" s="39"/>
      <c r="R114" s="39"/>
    </row>
    <row r="115" spans="1:18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39"/>
      <c r="O115" s="39"/>
      <c r="P115" s="39"/>
      <c r="Q115" s="39"/>
      <c r="R115" s="39"/>
    </row>
    <row r="116" spans="1:18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39"/>
      <c r="O116" s="39"/>
      <c r="P116" s="39"/>
      <c r="Q116" s="39"/>
      <c r="R116" s="39"/>
    </row>
    <row r="117" spans="1:18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39"/>
      <c r="O117" s="39"/>
      <c r="P117" s="39"/>
      <c r="Q117" s="39"/>
      <c r="R117" s="39"/>
    </row>
    <row r="118" spans="1:18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39"/>
      <c r="O118" s="39"/>
      <c r="P118" s="39"/>
      <c r="Q118" s="39"/>
      <c r="R118" s="39"/>
    </row>
    <row r="119" spans="1:18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39"/>
      <c r="O119" s="39"/>
      <c r="P119" s="39"/>
      <c r="Q119" s="39"/>
      <c r="R119" s="39"/>
    </row>
    <row r="120" spans="1:18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39"/>
      <c r="O120" s="39"/>
      <c r="P120" s="39"/>
      <c r="Q120" s="39"/>
      <c r="R120" s="39"/>
    </row>
    <row r="121" spans="1:18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39"/>
      <c r="O121" s="39"/>
      <c r="P121" s="39"/>
      <c r="Q121" s="39"/>
      <c r="R121" s="39"/>
    </row>
    <row r="122" spans="1:18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39"/>
      <c r="O122" s="39"/>
      <c r="P122" s="39"/>
      <c r="Q122" s="39"/>
      <c r="R122" s="39"/>
    </row>
    <row r="123" spans="1:18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39"/>
      <c r="O123" s="39"/>
      <c r="P123" s="39"/>
      <c r="Q123" s="39"/>
      <c r="R123" s="39"/>
    </row>
    <row r="124" spans="1:18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39"/>
      <c r="O124" s="39"/>
      <c r="P124" s="39"/>
      <c r="Q124" s="39"/>
      <c r="R124" s="39"/>
    </row>
    <row r="125" spans="1:18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39"/>
      <c r="O125" s="39"/>
      <c r="P125" s="39"/>
      <c r="Q125" s="39"/>
      <c r="R125" s="39"/>
    </row>
    <row r="126" spans="1:18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39"/>
      <c r="O126" s="39"/>
      <c r="P126" s="39"/>
      <c r="Q126" s="39"/>
      <c r="R126" s="39"/>
    </row>
    <row r="127" spans="1:18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39"/>
      <c r="O127" s="39"/>
      <c r="P127" s="39"/>
      <c r="Q127" s="39"/>
      <c r="R127" s="39"/>
    </row>
    <row r="128" spans="1:18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39"/>
      <c r="O128" s="39"/>
      <c r="P128" s="39"/>
      <c r="Q128" s="39"/>
      <c r="R128" s="39"/>
    </row>
    <row r="129" spans="1:18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39"/>
      <c r="O129" s="39"/>
      <c r="P129" s="39"/>
      <c r="Q129" s="39"/>
      <c r="R129" s="39"/>
    </row>
    <row r="130" spans="1:18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39"/>
      <c r="O130" s="39"/>
      <c r="P130" s="39"/>
      <c r="Q130" s="39"/>
      <c r="R130" s="39"/>
    </row>
    <row r="131" spans="1:18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39"/>
      <c r="O131" s="39"/>
      <c r="P131" s="39"/>
      <c r="Q131" s="39"/>
      <c r="R131" s="39"/>
    </row>
    <row r="132" spans="1:18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9"/>
      <c r="O132" s="39"/>
      <c r="P132" s="39"/>
      <c r="Q132" s="39"/>
      <c r="R132" s="39"/>
    </row>
    <row r="133" spans="1:18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9"/>
      <c r="O133" s="39"/>
      <c r="P133" s="39"/>
      <c r="Q133" s="39"/>
      <c r="R133" s="39"/>
    </row>
    <row r="134" spans="1:18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39"/>
      <c r="O134" s="39"/>
      <c r="P134" s="39"/>
      <c r="Q134" s="39"/>
      <c r="R134" s="39"/>
    </row>
    <row r="135" spans="1:18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9"/>
      <c r="O135" s="39"/>
      <c r="P135" s="39"/>
      <c r="Q135" s="39"/>
      <c r="R135" s="39"/>
    </row>
    <row r="136" spans="1:18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9"/>
      <c r="O136" s="39"/>
      <c r="P136" s="39"/>
      <c r="Q136" s="39"/>
      <c r="R136" s="39"/>
    </row>
    <row r="137" spans="1:18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39"/>
      <c r="O137" s="39"/>
      <c r="P137" s="39"/>
      <c r="Q137" s="39"/>
      <c r="R137" s="39"/>
    </row>
    <row r="138" spans="1:18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39"/>
      <c r="O138" s="39"/>
      <c r="P138" s="39"/>
      <c r="Q138" s="39"/>
      <c r="R138" s="39"/>
    </row>
    <row r="139" spans="1:18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39"/>
      <c r="O139" s="39"/>
      <c r="P139" s="39"/>
      <c r="Q139" s="39"/>
      <c r="R139" s="39"/>
    </row>
    <row r="140" spans="1:18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9"/>
      <c r="O140" s="39"/>
      <c r="P140" s="39"/>
      <c r="Q140" s="39"/>
      <c r="R140" s="39"/>
    </row>
    <row r="141" spans="1:18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9"/>
      <c r="O141" s="39"/>
      <c r="P141" s="39"/>
      <c r="Q141" s="39"/>
      <c r="R141" s="39"/>
    </row>
    <row r="142" spans="1:18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9"/>
      <c r="O142" s="39"/>
      <c r="P142" s="39"/>
      <c r="Q142" s="39"/>
      <c r="R142" s="39"/>
    </row>
    <row r="143" spans="1:18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9"/>
      <c r="O143" s="39"/>
      <c r="P143" s="39"/>
      <c r="Q143" s="39"/>
      <c r="R143" s="39"/>
    </row>
    <row r="144" spans="1:18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9"/>
      <c r="O144" s="39"/>
      <c r="P144" s="39"/>
      <c r="Q144" s="39"/>
      <c r="R144" s="39"/>
    </row>
    <row r="145" spans="1:18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39"/>
      <c r="O145" s="39"/>
      <c r="P145" s="39"/>
      <c r="Q145" s="39"/>
      <c r="R145" s="39"/>
    </row>
    <row r="146" spans="1:18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39"/>
      <c r="O146" s="39"/>
      <c r="P146" s="39"/>
      <c r="Q146" s="39"/>
      <c r="R146" s="39"/>
    </row>
    <row r="147" spans="1:18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39"/>
      <c r="O147" s="39"/>
      <c r="P147" s="39"/>
      <c r="Q147" s="39"/>
      <c r="R147" s="39"/>
    </row>
    <row r="148" spans="1:18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9"/>
      <c r="O148" s="39"/>
      <c r="P148" s="39"/>
      <c r="Q148" s="39"/>
      <c r="R148" s="39"/>
    </row>
    <row r="149" spans="1:18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9"/>
      <c r="O149" s="39"/>
      <c r="P149" s="39"/>
      <c r="Q149" s="39"/>
      <c r="R149" s="39"/>
    </row>
    <row r="150" spans="1:18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9"/>
      <c r="O150" s="39"/>
      <c r="P150" s="39"/>
      <c r="Q150" s="39"/>
      <c r="R150" s="39"/>
    </row>
    <row r="151" spans="1:18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9"/>
      <c r="O151" s="39"/>
      <c r="P151" s="39"/>
      <c r="Q151" s="39"/>
      <c r="R151" s="39"/>
    </row>
    <row r="152" spans="1:18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9"/>
      <c r="O152" s="39"/>
      <c r="P152" s="39"/>
      <c r="Q152" s="39"/>
      <c r="R152" s="39"/>
    </row>
    <row r="153" spans="1:18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39"/>
      <c r="O153" s="39"/>
      <c r="P153" s="39"/>
      <c r="Q153" s="39"/>
      <c r="R153" s="39"/>
    </row>
    <row r="154" spans="1:18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39"/>
      <c r="O154" s="39"/>
      <c r="P154" s="39"/>
      <c r="Q154" s="39"/>
      <c r="R154" s="39"/>
    </row>
    <row r="155" spans="1:18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39"/>
      <c r="O155" s="39"/>
      <c r="P155" s="39"/>
      <c r="Q155" s="39"/>
      <c r="R155" s="39"/>
    </row>
    <row r="156" spans="1:18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39"/>
      <c r="O156" s="39"/>
      <c r="P156" s="39"/>
      <c r="Q156" s="39"/>
      <c r="R156" s="39"/>
    </row>
    <row r="157" spans="1:18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39"/>
      <c r="O157" s="39"/>
      <c r="P157" s="39"/>
      <c r="Q157" s="39"/>
      <c r="R157" s="39"/>
    </row>
    <row r="158" spans="1:18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39"/>
      <c r="O158" s="39"/>
      <c r="P158" s="39"/>
      <c r="Q158" s="39"/>
      <c r="R158" s="39"/>
    </row>
    <row r="159" spans="1:18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39"/>
      <c r="O159" s="39"/>
      <c r="P159" s="39"/>
      <c r="Q159" s="39"/>
      <c r="R159" s="39"/>
    </row>
    <row r="160" spans="1:18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39"/>
      <c r="O160" s="39"/>
      <c r="P160" s="39"/>
      <c r="Q160" s="39"/>
      <c r="R160" s="39"/>
    </row>
    <row r="161" spans="1:18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39"/>
      <c r="O161" s="39"/>
      <c r="P161" s="39"/>
      <c r="Q161" s="39"/>
      <c r="R161" s="39"/>
    </row>
    <row r="162" spans="1:18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39"/>
      <c r="O162" s="39"/>
      <c r="P162" s="39"/>
      <c r="Q162" s="39"/>
      <c r="R162" s="39"/>
    </row>
    <row r="163" spans="1:18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39"/>
      <c r="O163" s="39"/>
      <c r="P163" s="39"/>
      <c r="Q163" s="39"/>
      <c r="R163" s="39"/>
    </row>
    <row r="164" spans="1:18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39"/>
      <c r="O164" s="39"/>
      <c r="P164" s="39"/>
      <c r="Q164" s="39"/>
      <c r="R164" s="39"/>
    </row>
    <row r="165" spans="1:18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39"/>
      <c r="O165" s="39"/>
      <c r="P165" s="39"/>
      <c r="Q165" s="39"/>
      <c r="R165" s="39"/>
    </row>
    <row r="166" spans="1:18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39"/>
      <c r="O166" s="39"/>
      <c r="P166" s="39"/>
      <c r="Q166" s="39"/>
      <c r="R166" s="39"/>
    </row>
    <row r="167" spans="1:18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39"/>
      <c r="O167" s="39"/>
      <c r="P167" s="39"/>
      <c r="Q167" s="39"/>
      <c r="R167" s="39"/>
    </row>
    <row r="168" spans="1:18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39"/>
      <c r="O168" s="39"/>
      <c r="P168" s="39"/>
      <c r="Q168" s="39"/>
      <c r="R168" s="39"/>
    </row>
    <row r="169" spans="1:18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39"/>
      <c r="O169" s="39"/>
      <c r="P169" s="39"/>
      <c r="Q169" s="39"/>
      <c r="R169" s="39"/>
    </row>
    <row r="170" spans="1:18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39"/>
      <c r="O170" s="39"/>
      <c r="P170" s="39"/>
      <c r="Q170" s="39"/>
      <c r="R170" s="39"/>
    </row>
    <row r="171" spans="1:18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39"/>
      <c r="O171" s="39"/>
      <c r="P171" s="39"/>
      <c r="Q171" s="39"/>
      <c r="R171" s="39"/>
    </row>
    <row r="172" spans="1:18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39"/>
      <c r="O172" s="39"/>
      <c r="P172" s="39"/>
      <c r="Q172" s="39"/>
      <c r="R172" s="39"/>
    </row>
    <row r="173" spans="1:18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39"/>
      <c r="O173" s="39"/>
      <c r="P173" s="39"/>
      <c r="Q173" s="39"/>
      <c r="R173" s="39"/>
    </row>
    <row r="174" spans="1:18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39"/>
      <c r="O174" s="39"/>
      <c r="P174" s="39"/>
      <c r="Q174" s="39"/>
      <c r="R174" s="39"/>
    </row>
    <row r="175" spans="1:18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39"/>
      <c r="O175" s="39"/>
      <c r="P175" s="39"/>
      <c r="Q175" s="39"/>
      <c r="R175" s="39"/>
    </row>
    <row r="176" spans="1:18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39"/>
      <c r="O176" s="39"/>
      <c r="P176" s="39"/>
      <c r="Q176" s="39"/>
      <c r="R176" s="39"/>
    </row>
    <row r="177" spans="1:18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39"/>
      <c r="O177" s="39"/>
      <c r="P177" s="39"/>
      <c r="Q177" s="39"/>
      <c r="R177" s="39"/>
    </row>
    <row r="178" spans="1:18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39"/>
      <c r="O178" s="39"/>
      <c r="P178" s="39"/>
      <c r="Q178" s="39"/>
      <c r="R178" s="39"/>
    </row>
    <row r="179" spans="1:18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39"/>
      <c r="O179" s="39"/>
      <c r="P179" s="39"/>
      <c r="Q179" s="39"/>
      <c r="R179" s="39"/>
    </row>
    <row r="180" spans="1:18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39"/>
      <c r="O180" s="39"/>
      <c r="P180" s="39"/>
      <c r="Q180" s="39"/>
      <c r="R180" s="39"/>
    </row>
    <row r="181" spans="1:18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39"/>
      <c r="O181" s="39"/>
      <c r="P181" s="39"/>
      <c r="Q181" s="39"/>
      <c r="R181" s="39"/>
    </row>
    <row r="182" spans="1:18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39"/>
      <c r="O182" s="39"/>
      <c r="P182" s="39"/>
      <c r="Q182" s="39"/>
      <c r="R182" s="39"/>
    </row>
    <row r="183" spans="1:18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39"/>
      <c r="O183" s="39"/>
      <c r="P183" s="39"/>
      <c r="Q183" s="39"/>
      <c r="R183" s="39"/>
    </row>
    <row r="184" spans="1:18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39"/>
      <c r="O184" s="39"/>
      <c r="P184" s="39"/>
      <c r="Q184" s="39"/>
      <c r="R184" s="39"/>
    </row>
    <row r="185" spans="1:18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39"/>
      <c r="O185" s="39"/>
      <c r="P185" s="39"/>
      <c r="Q185" s="39"/>
      <c r="R185" s="39"/>
    </row>
    <row r="186" spans="1:18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39"/>
      <c r="O186" s="39"/>
      <c r="P186" s="39"/>
      <c r="Q186" s="39"/>
      <c r="R186" s="39"/>
    </row>
    <row r="187" spans="1:18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39"/>
      <c r="O187" s="39"/>
      <c r="P187" s="39"/>
      <c r="Q187" s="39"/>
      <c r="R187" s="39"/>
    </row>
    <row r="188" spans="1:18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8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8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8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8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9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9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9" s="40" customFormat="1" x14ac:dyDescent="0.25">
      <c r="A195" s="1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S195"/>
    </row>
    <row r="196" spans="1:19" s="40" customFormat="1" x14ac:dyDescent="0.25">
      <c r="A196" s="1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S196"/>
    </row>
    <row r="197" spans="1:19" s="40" customFormat="1" x14ac:dyDescent="0.25">
      <c r="A197" s="1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S197"/>
    </row>
    <row r="198" spans="1:19" s="40" customFormat="1" x14ac:dyDescent="0.25">
      <c r="A198" s="1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S198"/>
    </row>
    <row r="199" spans="1:19" s="40" customFormat="1" x14ac:dyDescent="0.25">
      <c r="A199" s="1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S199"/>
    </row>
    <row r="200" spans="1:19" s="40" customFormat="1" x14ac:dyDescent="0.25">
      <c r="A200" s="1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S200"/>
    </row>
    <row r="201" spans="1:19" s="40" customFormat="1" x14ac:dyDescent="0.25">
      <c r="A201" s="1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S201"/>
    </row>
    <row r="202" spans="1:19" s="40" customFormat="1" x14ac:dyDescent="0.25">
      <c r="A202" s="1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S202"/>
    </row>
    <row r="203" spans="1:19" s="40" customFormat="1" x14ac:dyDescent="0.25">
      <c r="A203" s="1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S203"/>
    </row>
    <row r="204" spans="1:19" s="40" customFormat="1" x14ac:dyDescent="0.25">
      <c r="A204" s="1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S204"/>
    </row>
    <row r="205" spans="1:19" s="40" customFormat="1" x14ac:dyDescent="0.25">
      <c r="A205" s="1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S205"/>
    </row>
    <row r="206" spans="1:19" s="40" customFormat="1" x14ac:dyDescent="0.25">
      <c r="A206" s="1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S206"/>
    </row>
    <row r="207" spans="1:19" s="40" customFormat="1" x14ac:dyDescent="0.25">
      <c r="A207" s="1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S207"/>
    </row>
    <row r="208" spans="1:19" s="40" customFormat="1" x14ac:dyDescent="0.25">
      <c r="A208" s="1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S208"/>
    </row>
    <row r="209" spans="1:19" s="40" customFormat="1" x14ac:dyDescent="0.25">
      <c r="A209" s="1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S209"/>
    </row>
    <row r="210" spans="1:19" s="40" customFormat="1" x14ac:dyDescent="0.25">
      <c r="A210" s="1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S210"/>
    </row>
    <row r="211" spans="1:19" s="40" customFormat="1" x14ac:dyDescent="0.25">
      <c r="A211" s="1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S211"/>
    </row>
    <row r="212" spans="1:19" s="40" customFormat="1" x14ac:dyDescent="0.25">
      <c r="A212" s="1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S212"/>
    </row>
    <row r="213" spans="1:19" s="40" customFormat="1" x14ac:dyDescent="0.25">
      <c r="A213" s="1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S213"/>
    </row>
    <row r="214" spans="1:19" s="40" customFormat="1" x14ac:dyDescent="0.25">
      <c r="A214" s="1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S214"/>
    </row>
    <row r="215" spans="1:19" s="40" customFormat="1" x14ac:dyDescent="0.25">
      <c r="A215" s="1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S215"/>
    </row>
    <row r="216" spans="1:19" s="40" customFormat="1" x14ac:dyDescent="0.25">
      <c r="A216" s="1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S216"/>
    </row>
    <row r="217" spans="1:19" s="40" customFormat="1" x14ac:dyDescent="0.25">
      <c r="A217" s="1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S217"/>
    </row>
    <row r="218" spans="1:19" s="40" customFormat="1" x14ac:dyDescent="0.25">
      <c r="A218" s="1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S218"/>
    </row>
    <row r="219" spans="1:19" s="40" customFormat="1" x14ac:dyDescent="0.25">
      <c r="A219" s="1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S219"/>
    </row>
    <row r="220" spans="1:19" s="40" customFormat="1" x14ac:dyDescent="0.25">
      <c r="A220" s="1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S220"/>
    </row>
    <row r="221" spans="1:19" s="40" customFormat="1" x14ac:dyDescent="0.25">
      <c r="A221" s="1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S221"/>
    </row>
    <row r="222" spans="1:19" s="40" customFormat="1" x14ac:dyDescent="0.25">
      <c r="A222" s="1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S222"/>
    </row>
    <row r="223" spans="1:19" s="40" customFormat="1" x14ac:dyDescent="0.25">
      <c r="A223" s="1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S223"/>
    </row>
    <row r="224" spans="1:19" s="40" customFormat="1" x14ac:dyDescent="0.25">
      <c r="A224" s="1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S224"/>
    </row>
  </sheetData>
  <pageMargins left="0.511811024" right="0.511811024" top="0.78740157499999996" bottom="0.78740157499999996" header="0.31496062000000002" footer="0.31496062000000002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8"/>
  <sheetViews>
    <sheetView topLeftCell="A8" zoomScale="63" zoomScaleNormal="63" workbookViewId="0">
      <pane xSplit="5" topLeftCell="F1" activePane="topRight" state="frozen"/>
      <selection pane="topRight" activeCell="F94" sqref="F94"/>
    </sheetView>
  </sheetViews>
  <sheetFormatPr defaultRowHeight="15" x14ac:dyDescent="0.25"/>
  <cols>
    <col min="1" max="1" width="33.28515625" style="1" bestFit="1" customWidth="1"/>
    <col min="2" max="5" width="17.42578125" bestFit="1" customWidth="1"/>
    <col min="6" max="8" width="17.85546875" customWidth="1"/>
    <col min="9" max="9" width="23" bestFit="1" customWidth="1"/>
    <col min="10" max="10" width="23.7109375" bestFit="1" customWidth="1"/>
    <col min="11" max="13" width="16.28515625" bestFit="1" customWidth="1"/>
    <col min="14" max="14" width="17.85546875" customWidth="1"/>
    <col min="15" max="18" width="7.5703125" bestFit="1" customWidth="1"/>
    <col min="19" max="19" width="17.5703125" style="40" customWidth="1"/>
    <col min="20" max="20" width="8.5703125" bestFit="1" customWidth="1"/>
    <col min="21" max="21" width="9.7109375" bestFit="1" customWidth="1"/>
    <col min="22" max="22" width="7.5703125" bestFit="1" customWidth="1"/>
    <col min="23" max="23" width="8.5703125" bestFit="1" customWidth="1"/>
    <col min="24" max="26" width="17.85546875" customWidth="1"/>
    <col min="27" max="27" width="14.85546875" style="40" bestFit="1" customWidth="1"/>
    <col min="28" max="28" width="14.42578125" style="40" bestFit="1" customWidth="1"/>
    <col min="29" max="29" width="30.7109375" style="40" bestFit="1" customWidth="1"/>
    <col min="30" max="30" width="11.42578125" style="40" bestFit="1" customWidth="1"/>
    <col min="31" max="31" width="26.28515625" style="40" bestFit="1" customWidth="1"/>
  </cols>
  <sheetData>
    <row r="1" spans="1:31" s="3" customFormat="1" ht="213" customHeight="1" x14ac:dyDescent="0.25">
      <c r="A1" s="6" t="s">
        <v>12</v>
      </c>
      <c r="B1" s="2" t="s">
        <v>76</v>
      </c>
      <c r="C1" s="2" t="s">
        <v>77</v>
      </c>
      <c r="D1" s="2" t="s">
        <v>78</v>
      </c>
      <c r="E1" s="2" t="s">
        <v>79</v>
      </c>
      <c r="F1" s="2" t="s">
        <v>1</v>
      </c>
      <c r="G1" s="2" t="s">
        <v>2</v>
      </c>
      <c r="H1" s="2" t="s">
        <v>10</v>
      </c>
      <c r="I1" s="2" t="s">
        <v>11</v>
      </c>
      <c r="J1" s="2" t="s">
        <v>80</v>
      </c>
      <c r="K1" s="2" t="s">
        <v>81</v>
      </c>
      <c r="L1" s="2" t="s">
        <v>82</v>
      </c>
      <c r="M1" s="2" t="s">
        <v>83</v>
      </c>
      <c r="N1" s="2"/>
      <c r="O1" s="2"/>
      <c r="P1" s="2"/>
      <c r="Q1" s="2"/>
      <c r="R1" s="2"/>
      <c r="S1" s="37"/>
      <c r="T1" s="2"/>
      <c r="U1" s="2"/>
      <c r="V1" s="2"/>
      <c r="W1" s="2"/>
      <c r="X1" s="2"/>
      <c r="Y1" s="2"/>
      <c r="Z1" s="2"/>
      <c r="AA1" s="37" t="s">
        <v>15</v>
      </c>
      <c r="AB1" s="37" t="s">
        <v>16</v>
      </c>
      <c r="AC1" s="38" t="s">
        <v>359</v>
      </c>
      <c r="AD1" s="37" t="s">
        <v>3</v>
      </c>
      <c r="AE1" s="37" t="s">
        <v>4</v>
      </c>
    </row>
    <row r="2" spans="1:31" s="15" customFormat="1" x14ac:dyDescent="0.25">
      <c r="A2" s="11" t="s">
        <v>6</v>
      </c>
      <c r="B2" s="14"/>
      <c r="C2" s="14"/>
      <c r="D2" s="14"/>
      <c r="E2" s="14"/>
      <c r="F2" s="14">
        <v>21491291</v>
      </c>
      <c r="G2" s="14">
        <v>25495788</v>
      </c>
      <c r="H2" s="14">
        <v>30649693</v>
      </c>
      <c r="I2" s="14">
        <v>42920202</v>
      </c>
      <c r="J2" s="14">
        <f>8756469+472599</f>
        <v>9229068</v>
      </c>
      <c r="K2" s="14">
        <f>8963867+498145</f>
        <v>9462012</v>
      </c>
      <c r="L2" s="14">
        <f>8940051+555549</f>
        <v>9495600</v>
      </c>
      <c r="M2" s="14">
        <f>250000+9767183+748478</f>
        <v>10765661</v>
      </c>
      <c r="N2" s="14"/>
      <c r="O2" s="60">
        <f>(G2/F2)-1</f>
        <v>0.18633115153482405</v>
      </c>
      <c r="P2" s="60">
        <f t="shared" ref="P2:Q17" si="0">(H2/G2)-1</f>
        <v>0.20214731154808785</v>
      </c>
      <c r="Q2" s="60">
        <f t="shared" si="0"/>
        <v>0.4003468811253672</v>
      </c>
      <c r="R2" s="60">
        <f>AVERAGE(O2:Q2)</f>
        <v>0.2629417814027597</v>
      </c>
      <c r="S2" s="64"/>
      <c r="T2" s="60">
        <f>(K2/J2)-1</f>
        <v>2.5240251778402722E-2</v>
      </c>
      <c r="U2" s="60">
        <f t="shared" ref="U2:V17" si="1">(L2/K2)-1</f>
        <v>3.549773557674607E-3</v>
      </c>
      <c r="V2" s="60">
        <f t="shared" si="1"/>
        <v>0.13375258014238178</v>
      </c>
      <c r="W2" s="60">
        <f>AVERAGE(T2:V2)</f>
        <v>5.4180868492819702E-2</v>
      </c>
      <c r="X2" s="14"/>
      <c r="Y2" s="14"/>
      <c r="Z2" s="14"/>
      <c r="AA2" s="39">
        <v>1959</v>
      </c>
      <c r="AB2" s="39">
        <f>2021-AA2</f>
        <v>62</v>
      </c>
      <c r="AC2" s="39">
        <v>1</v>
      </c>
      <c r="AD2" s="39">
        <v>1</v>
      </c>
      <c r="AE2" s="39" t="s">
        <v>8</v>
      </c>
    </row>
    <row r="3" spans="1:31" s="40" customFormat="1" x14ac:dyDescent="0.25">
      <c r="A3" s="63" t="s">
        <v>25</v>
      </c>
      <c r="B3" s="64"/>
      <c r="C3" s="64"/>
      <c r="D3" s="64"/>
      <c r="E3" s="64"/>
      <c r="F3" s="64">
        <v>1197743</v>
      </c>
      <c r="G3" s="64">
        <v>1103378</v>
      </c>
      <c r="H3" s="64">
        <v>1133198</v>
      </c>
      <c r="I3" s="64">
        <v>1137074</v>
      </c>
      <c r="J3" s="64">
        <v>10295</v>
      </c>
      <c r="K3" s="64">
        <v>24445</v>
      </c>
      <c r="L3" s="64">
        <v>25350</v>
      </c>
      <c r="M3" s="64">
        <v>18471</v>
      </c>
      <c r="N3" s="64"/>
      <c r="O3" s="65">
        <f t="shared" ref="O3:Q66" si="2">(G3/F3)-1</f>
        <v>-7.8785682738283569E-2</v>
      </c>
      <c r="P3" s="65">
        <f t="shared" si="0"/>
        <v>2.7026096224503249E-2</v>
      </c>
      <c r="Q3" s="65">
        <f t="shared" si="0"/>
        <v>3.4204084370075272E-3</v>
      </c>
      <c r="R3" s="65">
        <f t="shared" ref="R3:R66" si="3">AVERAGE(O3:Q3)</f>
        <v>-1.6113059358924264E-2</v>
      </c>
      <c r="S3" s="64"/>
      <c r="T3" s="60">
        <f t="shared" ref="T3:V66" si="4">(K3/J3)-1</f>
        <v>1.3744536182612919</v>
      </c>
      <c r="U3" s="60">
        <f t="shared" si="1"/>
        <v>3.7021885866230342E-2</v>
      </c>
      <c r="V3" s="60">
        <f t="shared" si="1"/>
        <v>-0.2713609467455621</v>
      </c>
      <c r="W3" s="60">
        <f t="shared" ref="W3:W66" si="5">AVERAGE(T3:V3)</f>
        <v>0.38003818579398674</v>
      </c>
      <c r="X3" s="64"/>
      <c r="Y3" s="64"/>
      <c r="Z3" s="64"/>
      <c r="AA3" s="39">
        <v>2002</v>
      </c>
      <c r="AB3" s="39">
        <f t="shared" ref="AB3:AB44" si="6">2021-AA3</f>
        <v>19</v>
      </c>
      <c r="AC3" s="39">
        <v>3</v>
      </c>
      <c r="AD3" s="39">
        <v>1</v>
      </c>
      <c r="AE3" s="39" t="s">
        <v>5</v>
      </c>
    </row>
    <row r="4" spans="1:31" s="15" customFormat="1" ht="30" x14ac:dyDescent="0.25">
      <c r="A4" s="11" t="s">
        <v>29</v>
      </c>
      <c r="B4" s="14"/>
      <c r="C4" s="14"/>
      <c r="D4" s="14"/>
      <c r="E4" s="14"/>
      <c r="F4" s="14">
        <v>966009.99</v>
      </c>
      <c r="G4" s="14">
        <v>1230538.08</v>
      </c>
      <c r="H4" s="14">
        <v>1833568.08</v>
      </c>
      <c r="I4" s="14">
        <v>2179503.94</v>
      </c>
      <c r="J4" s="14">
        <v>425253.64</v>
      </c>
      <c r="K4" s="14">
        <v>747228.06</v>
      </c>
      <c r="L4" s="14">
        <v>796839.52</v>
      </c>
      <c r="M4" s="14">
        <v>767007.3</v>
      </c>
      <c r="N4" s="14"/>
      <c r="O4" s="60">
        <f t="shared" si="2"/>
        <v>0.27383577058038511</v>
      </c>
      <c r="P4" s="60">
        <f t="shared" si="0"/>
        <v>0.49005391202521742</v>
      </c>
      <c r="Q4" s="60">
        <f t="shared" si="0"/>
        <v>0.18866812951935752</v>
      </c>
      <c r="R4" s="60">
        <f t="shared" si="3"/>
        <v>0.31751927070832003</v>
      </c>
      <c r="S4" s="64"/>
      <c r="T4" s="60">
        <f t="shared" si="4"/>
        <v>0.75713501241282732</v>
      </c>
      <c r="U4" s="60">
        <f t="shared" si="1"/>
        <v>6.6394000246725149E-2</v>
      </c>
      <c r="V4" s="60">
        <f t="shared" si="1"/>
        <v>-3.7438178267061861E-2</v>
      </c>
      <c r="W4" s="60">
        <f t="shared" si="5"/>
        <v>0.26203027813083019</v>
      </c>
      <c r="X4" s="14"/>
      <c r="Y4" s="14"/>
      <c r="Z4" s="14"/>
      <c r="AA4" s="39">
        <v>2005</v>
      </c>
      <c r="AB4" s="39">
        <f t="shared" si="6"/>
        <v>16</v>
      </c>
      <c r="AC4" s="39">
        <v>2</v>
      </c>
      <c r="AD4" s="39">
        <v>1</v>
      </c>
      <c r="AE4" s="39" t="s">
        <v>30</v>
      </c>
    </row>
    <row r="5" spans="1:31" s="71" customFormat="1" ht="30" x14ac:dyDescent="0.25">
      <c r="A5" s="67" t="s">
        <v>34</v>
      </c>
      <c r="B5" s="68"/>
      <c r="C5" s="68"/>
      <c r="D5" s="68"/>
      <c r="E5" s="68"/>
      <c r="F5" s="68">
        <v>21778000</v>
      </c>
      <c r="G5" s="68">
        <v>21250000</v>
      </c>
      <c r="H5" s="68">
        <v>22676000</v>
      </c>
      <c r="I5" s="68">
        <v>25872000</v>
      </c>
      <c r="J5" s="68">
        <f>12291000</f>
        <v>12291000</v>
      </c>
      <c r="K5" s="68">
        <v>12039000</v>
      </c>
      <c r="L5" s="68">
        <f>12208000-199000</f>
        <v>12009000</v>
      </c>
      <c r="M5" s="68">
        <f>11481000-564000</f>
        <v>10917000</v>
      </c>
      <c r="N5" s="68"/>
      <c r="O5" s="69">
        <f t="shared" si="2"/>
        <v>-2.4244650564790193E-2</v>
      </c>
      <c r="P5" s="69">
        <f t="shared" si="0"/>
        <v>6.7105882352941126E-2</v>
      </c>
      <c r="Q5" s="69">
        <f t="shared" si="0"/>
        <v>0.14094196507320511</v>
      </c>
      <c r="R5" s="69">
        <f t="shared" si="3"/>
        <v>6.1267732287118681E-2</v>
      </c>
      <c r="S5" s="68"/>
      <c r="T5" s="69">
        <f t="shared" si="4"/>
        <v>-2.0502806931901429E-2</v>
      </c>
      <c r="U5" s="69">
        <f t="shared" si="1"/>
        <v>-2.4919013207076457E-3</v>
      </c>
      <c r="V5" s="69">
        <f t="shared" si="1"/>
        <v>-9.0931801149138125E-2</v>
      </c>
      <c r="W5" s="78">
        <f t="shared" si="5"/>
        <v>-3.7975503133915733E-2</v>
      </c>
      <c r="X5" s="68"/>
      <c r="Y5" s="68"/>
      <c r="Z5" s="68"/>
      <c r="AA5" s="70">
        <v>1971</v>
      </c>
      <c r="AB5" s="70">
        <f t="shared" si="6"/>
        <v>50</v>
      </c>
      <c r="AC5" s="70">
        <v>1</v>
      </c>
      <c r="AD5" s="70">
        <v>1</v>
      </c>
      <c r="AE5" s="70" t="s">
        <v>35</v>
      </c>
    </row>
    <row r="6" spans="1:31" s="15" customFormat="1" ht="30" x14ac:dyDescent="0.25">
      <c r="A6" s="11" t="s">
        <v>37</v>
      </c>
      <c r="B6" s="14"/>
      <c r="C6" s="14"/>
      <c r="D6" s="14"/>
      <c r="E6" s="14"/>
      <c r="F6" s="14">
        <v>666343637</v>
      </c>
      <c r="G6" s="14">
        <v>687017062</v>
      </c>
      <c r="H6" s="14">
        <v>708541040</v>
      </c>
      <c r="I6" s="14">
        <v>749681830</v>
      </c>
      <c r="J6" s="14">
        <v>525371704</v>
      </c>
      <c r="K6" s="14">
        <v>533776124</v>
      </c>
      <c r="L6" s="14">
        <v>548877027</v>
      </c>
      <c r="M6" s="14">
        <v>556562648</v>
      </c>
      <c r="N6" s="14"/>
      <c r="O6" s="60">
        <f t="shared" si="2"/>
        <v>3.1025170575764038E-2</v>
      </c>
      <c r="P6" s="60">
        <f t="shared" si="0"/>
        <v>3.1329612014788566E-2</v>
      </c>
      <c r="Q6" s="60">
        <f t="shared" si="0"/>
        <v>5.8064088990526175E-2</v>
      </c>
      <c r="R6" s="60">
        <f t="shared" si="3"/>
        <v>4.0139623860359595E-2</v>
      </c>
      <c r="S6" s="64"/>
      <c r="T6" s="60">
        <f t="shared" si="4"/>
        <v>1.5997092983903727E-2</v>
      </c>
      <c r="U6" s="60">
        <f t="shared" si="1"/>
        <v>2.8290705262043581E-2</v>
      </c>
      <c r="V6" s="60">
        <f t="shared" si="1"/>
        <v>1.400244612533208E-2</v>
      </c>
      <c r="W6" s="60">
        <f t="shared" si="5"/>
        <v>1.9430081457093129E-2</v>
      </c>
      <c r="X6" s="14"/>
      <c r="Y6" s="14"/>
      <c r="Z6" s="14"/>
      <c r="AA6" s="39">
        <v>1899</v>
      </c>
      <c r="AB6" s="39">
        <f t="shared" si="6"/>
        <v>122</v>
      </c>
      <c r="AC6" s="39">
        <v>3</v>
      </c>
      <c r="AD6" s="39">
        <v>1</v>
      </c>
      <c r="AE6" s="39" t="s">
        <v>17</v>
      </c>
    </row>
    <row r="7" spans="1:31" s="71" customFormat="1" ht="30" x14ac:dyDescent="0.25">
      <c r="A7" s="67" t="s">
        <v>41</v>
      </c>
      <c r="B7" s="68"/>
      <c r="C7" s="68"/>
      <c r="D7" s="68"/>
      <c r="E7" s="68"/>
      <c r="F7" s="68">
        <v>990902.94</v>
      </c>
      <c r="G7" s="68">
        <v>972577.91</v>
      </c>
      <c r="H7" s="68">
        <v>1127449.3</v>
      </c>
      <c r="I7" s="68">
        <v>1241601.77</v>
      </c>
      <c r="J7" s="68">
        <v>518711.84</v>
      </c>
      <c r="K7" s="68">
        <f>798217.05-266665.3</f>
        <v>531551.75</v>
      </c>
      <c r="L7" s="68">
        <v>496531.27</v>
      </c>
      <c r="M7" s="68">
        <v>459938.38</v>
      </c>
      <c r="N7" s="68"/>
      <c r="O7" s="69">
        <f t="shared" si="2"/>
        <v>-1.8493264335253556E-2</v>
      </c>
      <c r="P7" s="69">
        <f t="shared" si="0"/>
        <v>0.15923802957852495</v>
      </c>
      <c r="Q7" s="69">
        <f t="shared" si="0"/>
        <v>0.10124842864331018</v>
      </c>
      <c r="R7" s="69">
        <f t="shared" si="3"/>
        <v>8.0664397962193865E-2</v>
      </c>
      <c r="S7" s="68"/>
      <c r="T7" s="69">
        <f t="shared" si="4"/>
        <v>2.475345463485068E-2</v>
      </c>
      <c r="U7" s="69">
        <f t="shared" si="1"/>
        <v>-6.5883481711799474E-2</v>
      </c>
      <c r="V7" s="69">
        <f t="shared" si="1"/>
        <v>-7.3697050338843773E-2</v>
      </c>
      <c r="W7" s="78">
        <f t="shared" si="5"/>
        <v>-3.8275692471930856E-2</v>
      </c>
      <c r="X7" s="68"/>
      <c r="Y7" s="68"/>
      <c r="Z7" s="68"/>
      <c r="AA7" s="70">
        <v>1999</v>
      </c>
      <c r="AB7" s="70">
        <f t="shared" si="6"/>
        <v>22</v>
      </c>
      <c r="AC7" s="70">
        <v>3</v>
      </c>
      <c r="AD7" s="70">
        <v>1</v>
      </c>
      <c r="AE7" s="70" t="s">
        <v>42</v>
      </c>
    </row>
    <row r="8" spans="1:31" s="15" customFormat="1" x14ac:dyDescent="0.25">
      <c r="A8" s="11" t="s">
        <v>44</v>
      </c>
      <c r="B8" s="14"/>
      <c r="C8" s="14"/>
      <c r="D8" s="14"/>
      <c r="E8" s="14"/>
      <c r="F8" s="14">
        <v>25742478</v>
      </c>
      <c r="G8" s="14">
        <v>24861895</v>
      </c>
      <c r="H8" s="14">
        <v>26319288.920000002</v>
      </c>
      <c r="I8" s="14">
        <v>28487910.510000002</v>
      </c>
      <c r="J8" s="14">
        <v>1319622</v>
      </c>
      <c r="K8" s="14">
        <v>1686515</v>
      </c>
      <c r="L8" s="14">
        <v>2101366.13</v>
      </c>
      <c r="M8" s="14">
        <v>2481878.4</v>
      </c>
      <c r="N8" s="14"/>
      <c r="O8" s="60">
        <f t="shared" si="2"/>
        <v>-3.4207390601635135E-2</v>
      </c>
      <c r="P8" s="60">
        <f t="shared" si="0"/>
        <v>5.8619583100966377E-2</v>
      </c>
      <c r="Q8" s="60">
        <f t="shared" si="0"/>
        <v>8.2396663397394043E-2</v>
      </c>
      <c r="R8" s="60">
        <f t="shared" si="3"/>
        <v>3.5602951965575093E-2</v>
      </c>
      <c r="S8" s="64"/>
      <c r="T8" s="60">
        <f t="shared" si="4"/>
        <v>0.27802885977954284</v>
      </c>
      <c r="U8" s="60">
        <f t="shared" si="1"/>
        <v>0.24598128685484566</v>
      </c>
      <c r="V8" s="60">
        <f t="shared" si="1"/>
        <v>0.18107852057175777</v>
      </c>
      <c r="W8" s="60">
        <f t="shared" si="5"/>
        <v>0.23502955573538209</v>
      </c>
      <c r="X8" s="14"/>
      <c r="Y8" s="14"/>
      <c r="Z8" s="14"/>
      <c r="AA8" s="39">
        <v>2002</v>
      </c>
      <c r="AB8" s="39">
        <f t="shared" si="6"/>
        <v>19</v>
      </c>
      <c r="AC8" s="39">
        <v>1</v>
      </c>
      <c r="AD8" s="39">
        <v>1</v>
      </c>
      <c r="AE8" s="39" t="s">
        <v>17</v>
      </c>
    </row>
    <row r="9" spans="1:31" s="71" customFormat="1" x14ac:dyDescent="0.25">
      <c r="A9" s="67" t="s">
        <v>47</v>
      </c>
      <c r="B9" s="68"/>
      <c r="C9" s="68"/>
      <c r="D9" s="68"/>
      <c r="E9" s="68"/>
      <c r="F9" s="68">
        <v>3468102</v>
      </c>
      <c r="G9" s="68">
        <v>5114798</v>
      </c>
      <c r="H9" s="68">
        <v>4357331</v>
      </c>
      <c r="I9" s="68">
        <v>6628509</v>
      </c>
      <c r="J9" s="68">
        <v>794691</v>
      </c>
      <c r="K9" s="68">
        <f>549640+17896</f>
        <v>567536</v>
      </c>
      <c r="L9" s="68">
        <f>440230+65364</f>
        <v>505594</v>
      </c>
      <c r="M9" s="68">
        <f>324318+63000</f>
        <v>387318</v>
      </c>
      <c r="N9" s="68"/>
      <c r="O9" s="69">
        <f t="shared" si="2"/>
        <v>0.47481187116180545</v>
      </c>
      <c r="P9" s="69">
        <f t="shared" si="0"/>
        <v>-0.14809323848175426</v>
      </c>
      <c r="Q9" s="69">
        <f t="shared" si="0"/>
        <v>0.52123146026776479</v>
      </c>
      <c r="R9" s="69">
        <f t="shared" si="3"/>
        <v>0.28265003098260533</v>
      </c>
      <c r="S9" s="68"/>
      <c r="T9" s="69">
        <f t="shared" si="4"/>
        <v>-0.28584066008045894</v>
      </c>
      <c r="U9" s="69">
        <f t="shared" si="1"/>
        <v>-0.10914197513461699</v>
      </c>
      <c r="V9" s="69">
        <f t="shared" si="1"/>
        <v>-0.23393473814958243</v>
      </c>
      <c r="W9" s="78">
        <f t="shared" si="5"/>
        <v>-0.20963912445488611</v>
      </c>
      <c r="X9" s="68"/>
      <c r="Y9" s="68"/>
      <c r="Z9" s="68"/>
      <c r="AA9" s="70">
        <v>1997</v>
      </c>
      <c r="AB9" s="70">
        <f t="shared" si="6"/>
        <v>24</v>
      </c>
      <c r="AC9" s="70">
        <v>5</v>
      </c>
      <c r="AD9" s="70">
        <v>1</v>
      </c>
      <c r="AE9" s="70" t="s">
        <v>48</v>
      </c>
    </row>
    <row r="10" spans="1:31" s="15" customFormat="1" ht="30" x14ac:dyDescent="0.25">
      <c r="A10" s="11" t="s">
        <v>49</v>
      </c>
      <c r="B10" s="14"/>
      <c r="C10" s="14"/>
      <c r="D10" s="14"/>
      <c r="E10" s="14"/>
      <c r="F10" s="14">
        <v>26368047</v>
      </c>
      <c r="G10" s="14">
        <v>26786369</v>
      </c>
      <c r="H10" s="14">
        <v>31685784</v>
      </c>
      <c r="I10" s="14">
        <v>31675933</v>
      </c>
      <c r="J10" s="14">
        <v>7070366</v>
      </c>
      <c r="K10" s="14">
        <v>8489516</v>
      </c>
      <c r="L10" s="14">
        <f>9243144+52380</f>
        <v>9295524</v>
      </c>
      <c r="M10" s="14">
        <f>44903+10796737</f>
        <v>10841640</v>
      </c>
      <c r="N10" s="14"/>
      <c r="O10" s="60">
        <f t="shared" si="2"/>
        <v>1.5864732037226714E-2</v>
      </c>
      <c r="P10" s="60">
        <f t="shared" si="0"/>
        <v>0.182907022597949</v>
      </c>
      <c r="Q10" s="60">
        <f t="shared" si="0"/>
        <v>-3.1089652066051965E-4</v>
      </c>
      <c r="R10" s="60">
        <f t="shared" si="3"/>
        <v>6.615361937150506E-2</v>
      </c>
      <c r="S10" s="64"/>
      <c r="T10" s="60">
        <f t="shared" si="4"/>
        <v>0.20071803920758846</v>
      </c>
      <c r="U10" s="60">
        <f t="shared" si="1"/>
        <v>9.4941572640890204E-2</v>
      </c>
      <c r="V10" s="60">
        <f t="shared" si="1"/>
        <v>0.16632908483696029</v>
      </c>
      <c r="W10" s="60">
        <f t="shared" si="5"/>
        <v>0.15399623222847966</v>
      </c>
      <c r="X10" s="14"/>
      <c r="Y10" s="14"/>
      <c r="Z10" s="14"/>
      <c r="AA10" s="39">
        <v>1965</v>
      </c>
      <c r="AB10" s="39">
        <f t="shared" si="6"/>
        <v>56</v>
      </c>
      <c r="AC10" s="39">
        <v>1</v>
      </c>
      <c r="AD10" s="39">
        <v>1</v>
      </c>
      <c r="AE10" s="39" t="s">
        <v>51</v>
      </c>
    </row>
    <row r="11" spans="1:31" s="15" customFormat="1" x14ac:dyDescent="0.25">
      <c r="A11" s="11" t="s">
        <v>55</v>
      </c>
      <c r="B11" s="14"/>
      <c r="C11" s="14"/>
      <c r="D11" s="14"/>
      <c r="E11" s="14"/>
      <c r="F11" s="14">
        <v>1084387</v>
      </c>
      <c r="G11" s="14">
        <v>1126759</v>
      </c>
      <c r="H11" s="14">
        <v>1475355</v>
      </c>
      <c r="I11" s="14">
        <v>1531605</v>
      </c>
      <c r="J11" s="14">
        <v>180174</v>
      </c>
      <c r="K11" s="14">
        <v>153003</v>
      </c>
      <c r="L11" s="14">
        <v>170506</v>
      </c>
      <c r="M11" s="14">
        <v>257854</v>
      </c>
      <c r="N11" s="14"/>
      <c r="O11" s="60">
        <f t="shared" si="2"/>
        <v>3.9074610816986821E-2</v>
      </c>
      <c r="P11" s="60">
        <f t="shared" si="0"/>
        <v>0.30937937926388881</v>
      </c>
      <c r="Q11" s="60">
        <f t="shared" si="0"/>
        <v>3.8126417031832949E-2</v>
      </c>
      <c r="R11" s="60">
        <f t="shared" si="3"/>
        <v>0.12886013570423618</v>
      </c>
      <c r="S11" s="64"/>
      <c r="T11" s="60">
        <f t="shared" si="4"/>
        <v>-0.15080422258483461</v>
      </c>
      <c r="U11" s="60">
        <f t="shared" si="1"/>
        <v>0.1143964497428156</v>
      </c>
      <c r="V11" s="60">
        <f t="shared" si="1"/>
        <v>0.51228695764371923</v>
      </c>
      <c r="W11" s="60">
        <f t="shared" si="5"/>
        <v>0.15862639493390007</v>
      </c>
      <c r="X11" s="14"/>
      <c r="Y11" s="14"/>
      <c r="Z11" s="14"/>
      <c r="AA11" s="39">
        <v>2006</v>
      </c>
      <c r="AB11" s="39">
        <f t="shared" si="6"/>
        <v>15</v>
      </c>
      <c r="AC11" s="39">
        <v>3</v>
      </c>
      <c r="AD11" s="39">
        <v>1</v>
      </c>
      <c r="AE11" s="39" t="s">
        <v>5</v>
      </c>
    </row>
    <row r="12" spans="1:31" s="15" customFormat="1" x14ac:dyDescent="0.25">
      <c r="A12" s="11" t="s">
        <v>58</v>
      </c>
      <c r="B12" s="14"/>
      <c r="C12" s="14"/>
      <c r="D12" s="14"/>
      <c r="E12" s="14"/>
      <c r="F12" s="14">
        <v>4332199</v>
      </c>
      <c r="G12" s="14">
        <v>5051142</v>
      </c>
      <c r="H12" s="14">
        <v>4932697</v>
      </c>
      <c r="I12" s="14">
        <v>5755113</v>
      </c>
      <c r="J12" s="14">
        <f>46964+21361+3108723</f>
        <v>3177048</v>
      </c>
      <c r="K12" s="14">
        <f>183606+17062+3305006</f>
        <v>3505674</v>
      </c>
      <c r="L12" s="14">
        <v>3664712</v>
      </c>
      <c r="M12" s="14">
        <v>3828175</v>
      </c>
      <c r="N12" s="14"/>
      <c r="O12" s="60">
        <f t="shared" si="2"/>
        <v>0.16595336456150789</v>
      </c>
      <c r="P12" s="60">
        <f t="shared" si="0"/>
        <v>-2.3449152686659813E-2</v>
      </c>
      <c r="Q12" s="60">
        <f t="shared" si="0"/>
        <v>0.16672745153412016</v>
      </c>
      <c r="R12" s="60">
        <f t="shared" si="3"/>
        <v>0.10307722113632274</v>
      </c>
      <c r="S12" s="64"/>
      <c r="T12" s="60">
        <f t="shared" si="4"/>
        <v>0.10343753068886596</v>
      </c>
      <c r="U12" s="60">
        <f t="shared" si="1"/>
        <v>4.5365883992635858E-2</v>
      </c>
      <c r="V12" s="60">
        <f t="shared" si="1"/>
        <v>4.4604596486709003E-2</v>
      </c>
      <c r="W12" s="60">
        <f t="shared" si="5"/>
        <v>6.4469337056070275E-2</v>
      </c>
      <c r="X12" s="14"/>
      <c r="Y12" s="14"/>
      <c r="Z12" s="14"/>
      <c r="AA12" s="39">
        <v>1997</v>
      </c>
      <c r="AB12" s="39">
        <f t="shared" si="6"/>
        <v>24</v>
      </c>
      <c r="AC12" s="39">
        <v>1</v>
      </c>
      <c r="AD12" s="39">
        <v>1</v>
      </c>
      <c r="AE12" s="39" t="s">
        <v>30</v>
      </c>
    </row>
    <row r="13" spans="1:31" s="22" customFormat="1" ht="60" x14ac:dyDescent="0.25">
      <c r="A13" s="18" t="s">
        <v>64</v>
      </c>
      <c r="B13" s="21"/>
      <c r="C13" s="21"/>
      <c r="D13" s="21"/>
      <c r="E13" s="21"/>
      <c r="F13" s="21">
        <v>28933671.170000002</v>
      </c>
      <c r="G13" s="21">
        <v>94437931.5</v>
      </c>
      <c r="H13" s="21">
        <v>90723120.760000005</v>
      </c>
      <c r="I13" s="21">
        <v>83114416.650000006</v>
      </c>
      <c r="J13" s="21">
        <v>6073380.54</v>
      </c>
      <c r="K13" s="21">
        <v>90761915.109999999</v>
      </c>
      <c r="L13" s="21">
        <v>87894270.909999996</v>
      </c>
      <c r="M13" s="21">
        <v>79687267.290000007</v>
      </c>
      <c r="N13" s="21"/>
      <c r="O13" s="62">
        <f t="shared" si="2"/>
        <v>2.2639456965253122</v>
      </c>
      <c r="P13" s="62">
        <f t="shared" si="0"/>
        <v>-3.9336002822128679E-2</v>
      </c>
      <c r="Q13" s="62">
        <f t="shared" si="0"/>
        <v>-8.3867310187974664E-2</v>
      </c>
      <c r="R13" s="62">
        <f t="shared" si="3"/>
        <v>0.71358079450506962</v>
      </c>
      <c r="S13" s="64"/>
      <c r="T13" s="62">
        <f t="shared" si="4"/>
        <v>13.94421673600581</v>
      </c>
      <c r="U13" s="62">
        <f t="shared" si="1"/>
        <v>-3.1595236796452819E-2</v>
      </c>
      <c r="V13" s="62">
        <f t="shared" si="1"/>
        <v>-9.3373590053481559E-2</v>
      </c>
      <c r="W13" s="77">
        <f t="shared" si="5"/>
        <v>4.6064159697186255</v>
      </c>
      <c r="X13" s="21"/>
      <c r="Y13" s="21"/>
      <c r="Z13" s="21"/>
      <c r="AA13" s="52">
        <v>1773</v>
      </c>
      <c r="AB13" s="52">
        <f t="shared" si="6"/>
        <v>248</v>
      </c>
      <c r="AC13" s="52">
        <v>1</v>
      </c>
      <c r="AD13" s="52">
        <v>1</v>
      </c>
      <c r="AE13" s="52" t="s">
        <v>66</v>
      </c>
    </row>
    <row r="14" spans="1:31" s="15" customFormat="1" x14ac:dyDescent="0.25">
      <c r="A14" s="11" t="s">
        <v>70</v>
      </c>
      <c r="B14" s="14"/>
      <c r="C14" s="14"/>
      <c r="D14" s="14"/>
      <c r="E14" s="14"/>
      <c r="F14" s="14">
        <v>74988243</v>
      </c>
      <c r="G14" s="14">
        <v>64992589</v>
      </c>
      <c r="H14" s="14">
        <v>72271238</v>
      </c>
      <c r="I14" s="14">
        <v>98137449</v>
      </c>
      <c r="J14" s="14">
        <v>3029675</v>
      </c>
      <c r="K14" s="14">
        <v>3862374</v>
      </c>
      <c r="L14" s="14">
        <v>4202411</v>
      </c>
      <c r="M14" s="14">
        <v>4709731</v>
      </c>
      <c r="N14" s="14"/>
      <c r="O14" s="60">
        <f t="shared" si="2"/>
        <v>-0.13329628219186307</v>
      </c>
      <c r="P14" s="60">
        <f t="shared" si="0"/>
        <v>0.1119919841937671</v>
      </c>
      <c r="Q14" s="60">
        <f t="shared" si="0"/>
        <v>0.35790463420593399</v>
      </c>
      <c r="R14" s="60">
        <f t="shared" si="3"/>
        <v>0.11220011206927934</v>
      </c>
      <c r="S14" s="64"/>
      <c r="T14" s="60">
        <f t="shared" si="4"/>
        <v>0.27484763217176766</v>
      </c>
      <c r="U14" s="60">
        <f t="shared" si="1"/>
        <v>8.8038341186016611E-2</v>
      </c>
      <c r="V14" s="60">
        <f t="shared" si="1"/>
        <v>0.12072117648654546</v>
      </c>
      <c r="W14" s="60">
        <f t="shared" si="5"/>
        <v>0.16120238328144323</v>
      </c>
      <c r="X14" s="14"/>
      <c r="Y14" s="14"/>
      <c r="Z14" s="14"/>
      <c r="AA14" s="39">
        <v>1994</v>
      </c>
      <c r="AB14" s="39">
        <f t="shared" si="6"/>
        <v>27</v>
      </c>
      <c r="AC14" s="39">
        <v>4</v>
      </c>
      <c r="AD14" s="39">
        <v>1</v>
      </c>
      <c r="AE14" s="39" t="s">
        <v>5</v>
      </c>
    </row>
    <row r="15" spans="1:31" s="40" customFormat="1" x14ac:dyDescent="0.25">
      <c r="A15" s="63" t="s">
        <v>87</v>
      </c>
      <c r="B15" s="64">
        <f>1500000+570000</f>
        <v>2070000</v>
      </c>
      <c r="C15" s="64">
        <f>1530000+610000</f>
        <v>2140000</v>
      </c>
      <c r="D15" s="64">
        <f>870000+505000</f>
        <v>1375000</v>
      </c>
      <c r="E15" s="64">
        <f>509000+132000</f>
        <v>641000</v>
      </c>
      <c r="F15" s="64">
        <v>16397000</v>
      </c>
      <c r="G15" s="64">
        <v>14728000</v>
      </c>
      <c r="H15" s="64">
        <v>13406000</v>
      </c>
      <c r="I15" s="64">
        <v>11611000</v>
      </c>
      <c r="J15" s="64">
        <f>713000+612000</f>
        <v>1325000</v>
      </c>
      <c r="K15" s="64">
        <f>652000-612000</f>
        <v>40000</v>
      </c>
      <c r="L15" s="64">
        <f>658000-629000</f>
        <v>29000</v>
      </c>
      <c r="M15" s="64">
        <f>676000-638000</f>
        <v>38000</v>
      </c>
      <c r="N15" s="64"/>
      <c r="O15" s="65">
        <f t="shared" si="2"/>
        <v>-0.10178691224004388</v>
      </c>
      <c r="P15" s="65">
        <f t="shared" si="0"/>
        <v>-8.9760999456816926E-2</v>
      </c>
      <c r="Q15" s="65">
        <f t="shared" si="0"/>
        <v>-0.13389527077428021</v>
      </c>
      <c r="R15" s="65">
        <f t="shared" si="3"/>
        <v>-0.10848106082371367</v>
      </c>
      <c r="S15" s="64"/>
      <c r="T15" s="65">
        <f t="shared" si="4"/>
        <v>-0.96981132075471699</v>
      </c>
      <c r="U15" s="65">
        <f t="shared" si="1"/>
        <v>-0.27500000000000002</v>
      </c>
      <c r="V15" s="65">
        <f t="shared" si="1"/>
        <v>0.31034482758620685</v>
      </c>
      <c r="W15" s="78">
        <f t="shared" si="5"/>
        <v>-0.31148883105617003</v>
      </c>
      <c r="X15" s="64"/>
      <c r="Y15" s="64"/>
      <c r="Z15" s="64"/>
      <c r="AA15" s="39">
        <v>1994</v>
      </c>
      <c r="AB15" s="39">
        <f t="shared" si="6"/>
        <v>27</v>
      </c>
      <c r="AC15" s="39">
        <v>1</v>
      </c>
      <c r="AD15" s="39">
        <v>1</v>
      </c>
      <c r="AE15" s="39" t="s">
        <v>35</v>
      </c>
    </row>
    <row r="16" spans="1:31" s="71" customFormat="1" ht="30" x14ac:dyDescent="0.25">
      <c r="A16" s="67" t="s">
        <v>88</v>
      </c>
      <c r="B16" s="68"/>
      <c r="C16" s="68"/>
      <c r="D16" s="68"/>
      <c r="E16" s="68"/>
      <c r="F16" s="68">
        <v>8514279</v>
      </c>
      <c r="G16" s="68">
        <v>9738896</v>
      </c>
      <c r="H16" s="68">
        <v>9445471</v>
      </c>
      <c r="I16" s="68">
        <v>8677433</v>
      </c>
      <c r="J16" s="68">
        <v>1485662</v>
      </c>
      <c r="K16" s="68">
        <v>1489628</v>
      </c>
      <c r="L16" s="68">
        <v>1442031</v>
      </c>
      <c r="M16" s="68">
        <v>1287638</v>
      </c>
      <c r="N16" s="68"/>
      <c r="O16" s="69">
        <f t="shared" si="2"/>
        <v>0.14383096912844873</v>
      </c>
      <c r="P16" s="69">
        <f t="shared" si="0"/>
        <v>-3.0129185073955012E-2</v>
      </c>
      <c r="Q16" s="69">
        <f t="shared" si="0"/>
        <v>-8.1312832361668308E-2</v>
      </c>
      <c r="R16" s="69">
        <f t="shared" si="3"/>
        <v>1.0796317230941802E-2</v>
      </c>
      <c r="S16" s="68"/>
      <c r="T16" s="69">
        <f t="shared" si="4"/>
        <v>2.6695170233874688E-3</v>
      </c>
      <c r="U16" s="69">
        <f t="shared" si="1"/>
        <v>-3.1952272647936208E-2</v>
      </c>
      <c r="V16" s="69">
        <f t="shared" si="1"/>
        <v>-0.10706635294248179</v>
      </c>
      <c r="W16" s="78">
        <f t="shared" si="5"/>
        <v>-4.5449702855676843E-2</v>
      </c>
      <c r="X16" s="68"/>
      <c r="Y16" s="68"/>
      <c r="Z16" s="68"/>
      <c r="AA16" s="70">
        <v>1995</v>
      </c>
      <c r="AB16" s="70">
        <f t="shared" si="6"/>
        <v>26</v>
      </c>
      <c r="AC16" s="70">
        <v>1</v>
      </c>
      <c r="AD16" s="70">
        <v>1</v>
      </c>
      <c r="AE16" s="70" t="s">
        <v>5</v>
      </c>
    </row>
    <row r="17" spans="1:31" s="15" customFormat="1" x14ac:dyDescent="0.25">
      <c r="A17" s="11" t="s">
        <v>91</v>
      </c>
      <c r="B17" s="14"/>
      <c r="C17" s="14"/>
      <c r="D17" s="14"/>
      <c r="E17" s="14"/>
      <c r="F17" s="14">
        <v>13951884.960000001</v>
      </c>
      <c r="G17" s="14">
        <v>16738176.33</v>
      </c>
      <c r="H17" s="14">
        <v>19517629.050000001</v>
      </c>
      <c r="I17" s="14">
        <v>23168943.52</v>
      </c>
      <c r="J17" s="14">
        <v>184177.23</v>
      </c>
      <c r="K17" s="14">
        <v>298860.73</v>
      </c>
      <c r="L17" s="14">
        <v>660939.56999999995</v>
      </c>
      <c r="M17" s="14">
        <v>739338.2</v>
      </c>
      <c r="N17" s="14"/>
      <c r="O17" s="60">
        <f t="shared" si="2"/>
        <v>0.19970716343979933</v>
      </c>
      <c r="P17" s="60">
        <f t="shared" si="0"/>
        <v>0.16605469229155867</v>
      </c>
      <c r="Q17" s="60">
        <f t="shared" si="0"/>
        <v>0.18707776752217753</v>
      </c>
      <c r="R17" s="60">
        <f t="shared" si="3"/>
        <v>0.18427987441784519</v>
      </c>
      <c r="S17" s="64"/>
      <c r="T17" s="60">
        <f t="shared" si="4"/>
        <v>0.62268012175012055</v>
      </c>
      <c r="U17" s="60">
        <f t="shared" si="1"/>
        <v>1.2115303338782581</v>
      </c>
      <c r="V17" s="60">
        <f t="shared" si="1"/>
        <v>0.11861694103138665</v>
      </c>
      <c r="W17" s="60">
        <f t="shared" si="5"/>
        <v>0.65094246555325508</v>
      </c>
      <c r="X17" s="14"/>
      <c r="Y17" s="14"/>
      <c r="Z17" s="14"/>
      <c r="AA17" s="39">
        <v>2003</v>
      </c>
      <c r="AB17" s="39">
        <f t="shared" si="6"/>
        <v>18</v>
      </c>
      <c r="AC17" s="39">
        <v>2</v>
      </c>
      <c r="AD17" s="39">
        <v>1</v>
      </c>
      <c r="AE17" s="39" t="s">
        <v>35</v>
      </c>
    </row>
    <row r="18" spans="1:31" ht="45" x14ac:dyDescent="0.25">
      <c r="A18" s="4" t="s">
        <v>100</v>
      </c>
      <c r="B18" s="5"/>
      <c r="C18" s="5"/>
      <c r="D18" s="5"/>
      <c r="E18" s="5"/>
      <c r="F18" s="5">
        <f>2281180</f>
        <v>2281180</v>
      </c>
      <c r="G18" s="5">
        <v>3101471</v>
      </c>
      <c r="H18" s="5">
        <v>3860813</v>
      </c>
      <c r="I18" s="5">
        <v>5428807</v>
      </c>
      <c r="J18" s="5">
        <v>13409</v>
      </c>
      <c r="K18" s="5">
        <v>27583</v>
      </c>
      <c r="L18" s="5">
        <v>43858</v>
      </c>
      <c r="M18" s="5">
        <v>135255</v>
      </c>
      <c r="N18" s="5"/>
      <c r="O18" s="60">
        <f t="shared" si="2"/>
        <v>0.35959065045283589</v>
      </c>
      <c r="P18" s="60">
        <f t="shared" si="2"/>
        <v>0.24483285511939346</v>
      </c>
      <c r="Q18" s="60">
        <f t="shared" si="2"/>
        <v>0.40613052225010637</v>
      </c>
      <c r="R18" s="60">
        <f t="shared" si="3"/>
        <v>0.33685134260744526</v>
      </c>
      <c r="S18" s="64"/>
      <c r="T18" s="60">
        <f t="shared" si="4"/>
        <v>1.0570512342456557</v>
      </c>
      <c r="U18" s="60">
        <f t="shared" si="4"/>
        <v>0.59003734184098899</v>
      </c>
      <c r="V18" s="60">
        <f t="shared" si="4"/>
        <v>2.0839299557663367</v>
      </c>
      <c r="W18" s="77">
        <f t="shared" si="5"/>
        <v>1.2436728439509939</v>
      </c>
      <c r="X18" s="5"/>
      <c r="Y18" s="5"/>
      <c r="Z18" s="5"/>
      <c r="AA18" s="39">
        <v>1999</v>
      </c>
      <c r="AB18" s="39">
        <f t="shared" si="6"/>
        <v>22</v>
      </c>
      <c r="AC18" s="39">
        <v>7</v>
      </c>
      <c r="AD18" s="39">
        <v>1</v>
      </c>
      <c r="AE18" s="39" t="s">
        <v>5</v>
      </c>
    </row>
    <row r="19" spans="1:31" s="71" customFormat="1" x14ac:dyDescent="0.25">
      <c r="A19" s="67" t="s">
        <v>103</v>
      </c>
      <c r="B19" s="68"/>
      <c r="C19" s="68"/>
      <c r="D19" s="68"/>
      <c r="E19" s="68"/>
      <c r="F19" s="68">
        <v>1699222.77</v>
      </c>
      <c r="G19" s="68">
        <v>1774230.66</v>
      </c>
      <c r="H19" s="68">
        <v>1818045.82</v>
      </c>
      <c r="I19" s="68">
        <v>2481857.59</v>
      </c>
      <c r="J19" s="68">
        <v>32078.01</v>
      </c>
      <c r="K19" s="68">
        <v>31994.639999999999</v>
      </c>
      <c r="L19" s="68">
        <v>28672.71</v>
      </c>
      <c r="M19" s="68">
        <v>29881.02</v>
      </c>
      <c r="N19" s="68"/>
      <c r="O19" s="69">
        <f t="shared" si="2"/>
        <v>4.4142469912876736E-2</v>
      </c>
      <c r="P19" s="69">
        <f t="shared" si="2"/>
        <v>2.469530089171168E-2</v>
      </c>
      <c r="Q19" s="69">
        <f t="shared" si="2"/>
        <v>0.36512378439394877</v>
      </c>
      <c r="R19" s="69">
        <f t="shared" si="3"/>
        <v>0.14465385173284573</v>
      </c>
      <c r="S19" s="68"/>
      <c r="T19" s="69">
        <f t="shared" si="4"/>
        <v>-2.5989766821570282E-3</v>
      </c>
      <c r="U19" s="69">
        <f t="shared" si="4"/>
        <v>-0.10382770364035976</v>
      </c>
      <c r="V19" s="69">
        <f t="shared" si="4"/>
        <v>4.2141464828403086E-2</v>
      </c>
      <c r="W19" s="78">
        <f t="shared" si="5"/>
        <v>-2.1428405164704567E-2</v>
      </c>
      <c r="X19" s="68"/>
      <c r="Y19" s="68"/>
      <c r="Z19" s="68"/>
      <c r="AA19" s="70">
        <v>2010</v>
      </c>
      <c r="AB19" s="70">
        <f t="shared" si="6"/>
        <v>11</v>
      </c>
      <c r="AC19" s="70">
        <v>1</v>
      </c>
      <c r="AD19" s="70">
        <v>1</v>
      </c>
      <c r="AE19" s="70" t="s">
        <v>66</v>
      </c>
    </row>
    <row r="20" spans="1:31" s="22" customFormat="1" x14ac:dyDescent="0.25">
      <c r="A20" s="18" t="s">
        <v>107</v>
      </c>
      <c r="B20" s="21"/>
      <c r="C20" s="21"/>
      <c r="D20" s="21"/>
      <c r="E20" s="21"/>
      <c r="F20" s="21">
        <v>335788</v>
      </c>
      <c r="G20" s="21">
        <v>269786</v>
      </c>
      <c r="H20" s="21">
        <v>490808</v>
      </c>
      <c r="I20" s="21">
        <v>1033682</v>
      </c>
      <c r="J20" s="21">
        <v>31125</v>
      </c>
      <c r="K20" s="21">
        <v>33675</v>
      </c>
      <c r="L20" s="21">
        <v>34908</v>
      </c>
      <c r="M20" s="21">
        <v>40400</v>
      </c>
      <c r="N20" s="21"/>
      <c r="O20" s="62">
        <f t="shared" si="2"/>
        <v>-0.19655854289015684</v>
      </c>
      <c r="P20" s="62">
        <f t="shared" si="2"/>
        <v>0.81924933095119834</v>
      </c>
      <c r="Q20" s="62">
        <f t="shared" si="2"/>
        <v>1.106082215448811</v>
      </c>
      <c r="R20" s="62">
        <f>AVERAGE(O20:Q20)</f>
        <v>0.57625766783661747</v>
      </c>
      <c r="S20" s="64"/>
      <c r="T20" s="62">
        <f t="shared" si="4"/>
        <v>8.192771084337358E-2</v>
      </c>
      <c r="U20" s="62">
        <f t="shared" si="4"/>
        <v>3.6614699331848577E-2</v>
      </c>
      <c r="V20" s="62">
        <f t="shared" si="4"/>
        <v>0.15732783316145293</v>
      </c>
      <c r="W20" s="62">
        <f t="shared" si="5"/>
        <v>9.1956747778891693E-2</v>
      </c>
      <c r="X20" s="21"/>
      <c r="Y20" s="21"/>
      <c r="Z20" s="21"/>
      <c r="AA20" s="52">
        <v>2007</v>
      </c>
      <c r="AB20" s="52">
        <f t="shared" si="6"/>
        <v>14</v>
      </c>
      <c r="AC20" s="52">
        <v>1</v>
      </c>
      <c r="AD20" s="52">
        <v>1</v>
      </c>
      <c r="AE20" s="52" t="s">
        <v>17</v>
      </c>
    </row>
    <row r="21" spans="1:31" s="71" customFormat="1" x14ac:dyDescent="0.25">
      <c r="A21" s="67" t="s">
        <v>117</v>
      </c>
      <c r="B21" s="68"/>
      <c r="C21" s="68"/>
      <c r="D21" s="68"/>
      <c r="E21" s="68"/>
      <c r="F21" s="68">
        <v>8734203.2699999996</v>
      </c>
      <c r="G21" s="68">
        <v>11255584.050000001</v>
      </c>
      <c r="H21" s="68">
        <v>11617533.550000001</v>
      </c>
      <c r="I21" s="68">
        <v>12388335.43</v>
      </c>
      <c r="J21" s="68">
        <f>230277+1258.38</f>
        <v>231535.38</v>
      </c>
      <c r="K21" s="68">
        <f>246408.37+561.78</f>
        <v>246970.15</v>
      </c>
      <c r="L21" s="68">
        <v>176844.77</v>
      </c>
      <c r="M21" s="68">
        <v>98465.69</v>
      </c>
      <c r="N21" s="68"/>
      <c r="O21" s="69">
        <f t="shared" si="2"/>
        <v>0.28867896728032094</v>
      </c>
      <c r="P21" s="69">
        <f t="shared" si="2"/>
        <v>3.2157327277921199E-2</v>
      </c>
      <c r="Q21" s="69">
        <f t="shared" si="2"/>
        <v>6.6348151841575609E-2</v>
      </c>
      <c r="R21" s="69">
        <f t="shared" si="3"/>
        <v>0.12906148213327259</v>
      </c>
      <c r="S21" s="68"/>
      <c r="T21" s="69">
        <f t="shared" si="4"/>
        <v>6.6662684553868035E-2</v>
      </c>
      <c r="U21" s="69">
        <f t="shared" si="4"/>
        <v>-0.28394273558970595</v>
      </c>
      <c r="V21" s="69">
        <f t="shared" si="4"/>
        <v>-0.44320835725025964</v>
      </c>
      <c r="W21" s="78">
        <f t="shared" si="5"/>
        <v>-0.22016280276203251</v>
      </c>
      <c r="X21" s="68"/>
      <c r="Y21" s="68"/>
      <c r="Z21" s="68"/>
      <c r="AA21" s="70">
        <v>2000</v>
      </c>
      <c r="AB21" s="70">
        <f t="shared" si="6"/>
        <v>21</v>
      </c>
      <c r="AC21" s="70">
        <v>1</v>
      </c>
      <c r="AD21" s="70">
        <v>1</v>
      </c>
      <c r="AE21" s="70" t="s">
        <v>66</v>
      </c>
    </row>
    <row r="22" spans="1:31" s="22" customFormat="1" x14ac:dyDescent="0.25">
      <c r="A22" s="18" t="s">
        <v>123</v>
      </c>
      <c r="B22" s="21"/>
      <c r="C22" s="21"/>
      <c r="D22" s="21"/>
      <c r="E22" s="21"/>
      <c r="F22" s="21">
        <v>1205864</v>
      </c>
      <c r="G22" s="21">
        <v>2178770</v>
      </c>
      <c r="H22" s="21">
        <v>6068343</v>
      </c>
      <c r="I22" s="21">
        <v>1903704.54</v>
      </c>
      <c r="J22" s="21">
        <v>14862</v>
      </c>
      <c r="K22" s="21">
        <v>11934</v>
      </c>
      <c r="L22" s="21">
        <v>1217034</v>
      </c>
      <c r="M22" s="21">
        <v>1224414.78</v>
      </c>
      <c r="N22" s="21"/>
      <c r="O22" s="62">
        <f t="shared" si="2"/>
        <v>0.80681237685178431</v>
      </c>
      <c r="P22" s="62">
        <f t="shared" si="2"/>
        <v>1.7852150525296384</v>
      </c>
      <c r="Q22" s="62">
        <f t="shared" si="2"/>
        <v>-0.68628923249724016</v>
      </c>
      <c r="R22" s="62">
        <f t="shared" si="3"/>
        <v>0.63524606562806085</v>
      </c>
      <c r="S22" s="64"/>
      <c r="T22" s="62">
        <f t="shared" si="4"/>
        <v>-0.19701251513928142</v>
      </c>
      <c r="U22" s="62">
        <f t="shared" si="4"/>
        <v>100.98039215686275</v>
      </c>
      <c r="V22" s="62">
        <f t="shared" si="4"/>
        <v>6.0645635208218529E-3</v>
      </c>
      <c r="W22" s="77">
        <f t="shared" si="5"/>
        <v>33.5964814017481</v>
      </c>
      <c r="X22" s="21"/>
      <c r="Y22" s="21"/>
      <c r="Z22" s="21"/>
      <c r="AA22" s="52">
        <v>2000</v>
      </c>
      <c r="AB22" s="52">
        <f t="shared" si="6"/>
        <v>21</v>
      </c>
      <c r="AC22" s="52">
        <v>7</v>
      </c>
      <c r="AD22" s="52">
        <v>1</v>
      </c>
      <c r="AE22" s="52" t="s">
        <v>124</v>
      </c>
    </row>
    <row r="23" spans="1:31" x14ac:dyDescent="0.25">
      <c r="A23" s="4" t="s">
        <v>129</v>
      </c>
      <c r="B23" s="5"/>
      <c r="C23" s="5"/>
      <c r="D23" s="5"/>
      <c r="E23" s="5"/>
      <c r="F23" s="5">
        <v>17459058</v>
      </c>
      <c r="G23" s="5">
        <v>18218077</v>
      </c>
      <c r="H23" s="5">
        <v>18514241</v>
      </c>
      <c r="I23" s="5">
        <v>18819748</v>
      </c>
      <c r="J23" s="5">
        <f>10804717+1028</f>
        <v>10805745</v>
      </c>
      <c r="K23" s="5">
        <f>10770783+1028</f>
        <v>10771811</v>
      </c>
      <c r="L23" s="5">
        <f>13733755-3548882+11552-4103</f>
        <v>10192322</v>
      </c>
      <c r="M23" s="5">
        <f>15858421-4052079+11552-5487</f>
        <v>11812407</v>
      </c>
      <c r="N23" s="5"/>
      <c r="O23" s="60">
        <f t="shared" si="2"/>
        <v>4.3474224096168301E-2</v>
      </c>
      <c r="P23" s="60">
        <f t="shared" si="2"/>
        <v>1.6256600518265385E-2</v>
      </c>
      <c r="Q23" s="60">
        <f t="shared" si="2"/>
        <v>1.6501189543767891E-2</v>
      </c>
      <c r="R23" s="60">
        <f t="shared" si="3"/>
        <v>2.5410671386067191E-2</v>
      </c>
      <c r="S23" s="64"/>
      <c r="T23" s="60">
        <f t="shared" si="4"/>
        <v>-3.140366536504402E-3</v>
      </c>
      <c r="U23" s="60">
        <f t="shared" si="4"/>
        <v>-5.3796803527280557E-2</v>
      </c>
      <c r="V23" s="60">
        <f t="shared" si="4"/>
        <v>0.15895151271712171</v>
      </c>
      <c r="W23" s="60">
        <f t="shared" si="5"/>
        <v>3.4004780884445585E-2</v>
      </c>
      <c r="X23" s="5"/>
      <c r="Y23" s="5"/>
      <c r="Z23" s="5"/>
      <c r="AA23" s="39">
        <v>1991</v>
      </c>
      <c r="AB23" s="39">
        <f t="shared" si="6"/>
        <v>30</v>
      </c>
      <c r="AC23" s="39">
        <v>3</v>
      </c>
      <c r="AD23" s="39">
        <v>1</v>
      </c>
      <c r="AE23" s="39" t="s">
        <v>30</v>
      </c>
    </row>
    <row r="24" spans="1:31" s="22" customFormat="1" ht="45.6" customHeight="1" x14ac:dyDescent="0.25">
      <c r="A24" s="18" t="s">
        <v>132</v>
      </c>
      <c r="B24" s="21"/>
      <c r="C24" s="21"/>
      <c r="D24" s="21"/>
      <c r="E24" s="21"/>
      <c r="F24" s="21">
        <v>298226</v>
      </c>
      <c r="G24" s="21">
        <v>1291070</v>
      </c>
      <c r="H24" s="21">
        <v>1851040</v>
      </c>
      <c r="I24" s="21">
        <v>7957042</v>
      </c>
      <c r="J24" s="21">
        <v>154518</v>
      </c>
      <c r="K24" s="21">
        <v>275910</v>
      </c>
      <c r="L24" s="21">
        <v>255454</v>
      </c>
      <c r="M24" s="21">
        <v>218491</v>
      </c>
      <c r="N24" s="21"/>
      <c r="O24" s="62">
        <f t="shared" si="2"/>
        <v>3.3291664710655677</v>
      </c>
      <c r="P24" s="62">
        <f t="shared" si="2"/>
        <v>0.43372551449572838</v>
      </c>
      <c r="Q24" s="62">
        <f t="shared" si="2"/>
        <v>3.2986872244792114</v>
      </c>
      <c r="R24" s="62">
        <f t="shared" si="3"/>
        <v>2.3538597366801692</v>
      </c>
      <c r="S24" s="64"/>
      <c r="T24" s="62">
        <f t="shared" si="4"/>
        <v>0.7856172096454781</v>
      </c>
      <c r="U24" s="62">
        <f t="shared" si="4"/>
        <v>-7.4140118154470636E-2</v>
      </c>
      <c r="V24" s="62">
        <f t="shared" si="4"/>
        <v>-0.14469532675158736</v>
      </c>
      <c r="W24" s="62">
        <f t="shared" si="5"/>
        <v>0.18892725491314002</v>
      </c>
      <c r="X24" s="21"/>
      <c r="Y24" s="21"/>
      <c r="Z24" s="21"/>
      <c r="AA24" s="52">
        <v>2003</v>
      </c>
      <c r="AB24" s="52">
        <f t="shared" si="6"/>
        <v>18</v>
      </c>
      <c r="AC24" s="52">
        <v>7</v>
      </c>
      <c r="AD24" s="52">
        <v>1</v>
      </c>
      <c r="AE24" s="52" t="s">
        <v>134</v>
      </c>
    </row>
    <row r="25" spans="1:31" ht="30" x14ac:dyDescent="0.25">
      <c r="A25" s="4" t="s">
        <v>137</v>
      </c>
      <c r="B25" s="5"/>
      <c r="C25" s="5"/>
      <c r="D25" s="5"/>
      <c r="E25" s="5"/>
      <c r="F25" s="5">
        <v>50325000</v>
      </c>
      <c r="G25" s="5">
        <v>91455000</v>
      </c>
      <c r="H25" s="5">
        <v>28195000</v>
      </c>
      <c r="I25" s="5">
        <v>32695000</v>
      </c>
      <c r="J25" s="5">
        <v>18335000</v>
      </c>
      <c r="K25" s="5">
        <v>19945000</v>
      </c>
      <c r="L25" s="5">
        <v>28195000</v>
      </c>
      <c r="M25" s="5">
        <v>32695000</v>
      </c>
      <c r="N25" s="5"/>
      <c r="O25" s="60">
        <f t="shared" si="2"/>
        <v>0.81728763040238439</v>
      </c>
      <c r="P25" s="60">
        <f t="shared" si="2"/>
        <v>-0.69170630364660213</v>
      </c>
      <c r="Q25" s="60">
        <f t="shared" si="2"/>
        <v>0.15960276644795179</v>
      </c>
      <c r="R25" s="60">
        <f t="shared" si="3"/>
        <v>9.5061364401244686E-2</v>
      </c>
      <c r="S25" s="64"/>
      <c r="T25" s="60">
        <f t="shared" si="4"/>
        <v>8.7810199072811512E-2</v>
      </c>
      <c r="U25" s="60">
        <f t="shared" si="4"/>
        <v>0.41363750313361747</v>
      </c>
      <c r="V25" s="60">
        <f t="shared" si="4"/>
        <v>0.15960276644795179</v>
      </c>
      <c r="W25" s="60">
        <f t="shared" si="5"/>
        <v>0.22035015621812692</v>
      </c>
      <c r="X25" s="5"/>
      <c r="Y25" s="5"/>
      <c r="Z25" s="5"/>
      <c r="AA25" s="39">
        <v>1992</v>
      </c>
      <c r="AB25" s="39">
        <f t="shared" si="6"/>
        <v>29</v>
      </c>
      <c r="AC25" s="39">
        <v>4</v>
      </c>
      <c r="AD25" s="39">
        <v>1</v>
      </c>
      <c r="AE25" s="39" t="s">
        <v>136</v>
      </c>
    </row>
    <row r="26" spans="1:31" s="76" customFormat="1" ht="45" x14ac:dyDescent="0.25">
      <c r="A26" s="72" t="s">
        <v>140</v>
      </c>
      <c r="B26" s="73"/>
      <c r="C26" s="73"/>
      <c r="D26" s="73"/>
      <c r="E26" s="73"/>
      <c r="F26" s="73">
        <v>32974000</v>
      </c>
      <c r="G26" s="73">
        <v>31059000</v>
      </c>
      <c r="H26" s="73">
        <v>28236000</v>
      </c>
      <c r="I26" s="73">
        <v>24791000</v>
      </c>
      <c r="J26" s="73">
        <v>9340000</v>
      </c>
      <c r="K26" s="73">
        <v>9265000</v>
      </c>
      <c r="L26" s="73">
        <v>9185000</v>
      </c>
      <c r="M26" s="73">
        <v>9094000</v>
      </c>
      <c r="N26" s="73"/>
      <c r="O26" s="74">
        <f t="shared" si="2"/>
        <v>-5.8076059926002288E-2</v>
      </c>
      <c r="P26" s="74">
        <f t="shared" si="2"/>
        <v>-9.0891529025403317E-2</v>
      </c>
      <c r="Q26" s="74">
        <f t="shared" si="2"/>
        <v>-0.12200736648250465</v>
      </c>
      <c r="R26" s="74">
        <f t="shared" si="3"/>
        <v>-9.0324985144636757E-2</v>
      </c>
      <c r="S26" s="73"/>
      <c r="T26" s="74">
        <f t="shared" si="4"/>
        <v>-8.0299785867237183E-3</v>
      </c>
      <c r="U26" s="74">
        <f t="shared" si="4"/>
        <v>-8.634646519158129E-3</v>
      </c>
      <c r="V26" s="74">
        <f t="shared" si="4"/>
        <v>-9.9074578116494783E-3</v>
      </c>
      <c r="W26" s="78">
        <f t="shared" si="5"/>
        <v>-8.8573609725104419E-3</v>
      </c>
      <c r="X26" s="73"/>
      <c r="Y26" s="73"/>
      <c r="Z26" s="73"/>
      <c r="AA26" s="75">
        <v>1984</v>
      </c>
      <c r="AB26" s="75">
        <f t="shared" si="6"/>
        <v>37</v>
      </c>
      <c r="AC26" s="75">
        <v>4</v>
      </c>
      <c r="AD26" s="75">
        <v>1</v>
      </c>
      <c r="AE26" s="75" t="s">
        <v>51</v>
      </c>
    </row>
    <row r="27" spans="1:31" s="71" customFormat="1" ht="30" x14ac:dyDescent="0.25">
      <c r="A27" s="67" t="s">
        <v>143</v>
      </c>
      <c r="B27" s="68"/>
      <c r="C27" s="68"/>
      <c r="D27" s="68"/>
      <c r="E27" s="68"/>
      <c r="F27" s="68">
        <v>32332976</v>
      </c>
      <c r="G27" s="68">
        <v>31617108</v>
      </c>
      <c r="H27" s="68">
        <v>30605466</v>
      </c>
      <c r="I27" s="68">
        <v>39574878</v>
      </c>
      <c r="J27" s="68">
        <f>3786956+85074</f>
        <v>3872030</v>
      </c>
      <c r="K27" s="68">
        <f>3591033+94811</f>
        <v>3685844</v>
      </c>
      <c r="L27" s="68">
        <f>3450057+82050</f>
        <v>3532107</v>
      </c>
      <c r="M27" s="68">
        <f>3144773+67257</f>
        <v>3212030</v>
      </c>
      <c r="N27" s="68"/>
      <c r="O27" s="69">
        <f t="shared" si="2"/>
        <v>-2.2140492109356091E-2</v>
      </c>
      <c r="P27" s="69">
        <f t="shared" si="2"/>
        <v>-3.1996664590575485E-2</v>
      </c>
      <c r="Q27" s="69">
        <f t="shared" si="2"/>
        <v>0.29306568963857638</v>
      </c>
      <c r="R27" s="69">
        <f t="shared" si="3"/>
        <v>7.96428443128816E-2</v>
      </c>
      <c r="S27" s="68"/>
      <c r="T27" s="69">
        <f t="shared" si="4"/>
        <v>-4.8084854714452119E-2</v>
      </c>
      <c r="U27" s="69">
        <f t="shared" si="4"/>
        <v>-4.1710121209687645E-2</v>
      </c>
      <c r="V27" s="69">
        <f t="shared" si="4"/>
        <v>-9.0619281918696171E-2</v>
      </c>
      <c r="W27" s="78">
        <f t="shared" si="5"/>
        <v>-6.0138085947611976E-2</v>
      </c>
      <c r="X27" s="68"/>
      <c r="Y27" s="68"/>
      <c r="Z27" s="68"/>
      <c r="AA27" s="70">
        <v>1995</v>
      </c>
      <c r="AB27" s="70">
        <f t="shared" si="6"/>
        <v>26</v>
      </c>
      <c r="AC27" s="70">
        <v>4</v>
      </c>
      <c r="AD27" s="70">
        <v>1</v>
      </c>
      <c r="AE27" s="70" t="s">
        <v>144</v>
      </c>
    </row>
    <row r="28" spans="1:31" s="22" customFormat="1" ht="45" x14ac:dyDescent="0.25">
      <c r="A28" s="18" t="s">
        <v>146</v>
      </c>
      <c r="B28" s="21"/>
      <c r="C28" s="21"/>
      <c r="D28" s="21"/>
      <c r="E28" s="21"/>
      <c r="F28" s="21">
        <v>2474180.9900000002</v>
      </c>
      <c r="G28" s="21">
        <v>3135513.54</v>
      </c>
      <c r="H28" s="21">
        <v>12528000</v>
      </c>
      <c r="I28" s="21">
        <v>23430000</v>
      </c>
      <c r="J28" s="21">
        <f>1001193.11-272662.84</f>
        <v>728530.27</v>
      </c>
      <c r="K28" s="21">
        <f>1226408.04-175950</f>
        <v>1050458.04</v>
      </c>
      <c r="L28" s="21">
        <f>2449000</f>
        <v>2449000</v>
      </c>
      <c r="M28" s="21">
        <v>2837000</v>
      </c>
      <c r="N28" s="21"/>
      <c r="O28" s="62">
        <f t="shared" si="2"/>
        <v>0.26729352164329723</v>
      </c>
      <c r="P28" s="62">
        <f t="shared" si="2"/>
        <v>2.9955177485854518</v>
      </c>
      <c r="Q28" s="62">
        <f t="shared" si="2"/>
        <v>0.87021072796934873</v>
      </c>
      <c r="R28" s="62">
        <f t="shared" si="3"/>
        <v>1.3776739993993659</v>
      </c>
      <c r="S28" s="64"/>
      <c r="T28" s="62">
        <f t="shared" si="4"/>
        <v>0.44188660822562675</v>
      </c>
      <c r="U28" s="62">
        <f t="shared" si="4"/>
        <v>1.3313639448178245</v>
      </c>
      <c r="V28" s="62">
        <f t="shared" si="4"/>
        <v>0.15843201306655774</v>
      </c>
      <c r="W28" s="62">
        <f t="shared" si="5"/>
        <v>0.64389418870333637</v>
      </c>
      <c r="X28" s="21"/>
      <c r="Y28" s="21"/>
      <c r="Z28" s="21"/>
      <c r="AA28" s="52">
        <v>2005</v>
      </c>
      <c r="AB28" s="52">
        <f t="shared" si="6"/>
        <v>16</v>
      </c>
      <c r="AC28" s="52">
        <v>4</v>
      </c>
      <c r="AD28" s="52">
        <v>1</v>
      </c>
      <c r="AE28" s="52" t="s">
        <v>147</v>
      </c>
    </row>
    <row r="29" spans="1:31" s="71" customFormat="1" ht="30" x14ac:dyDescent="0.25">
      <c r="A29" s="67" t="s">
        <v>154</v>
      </c>
      <c r="B29" s="68"/>
      <c r="C29" s="68"/>
      <c r="D29" s="68"/>
      <c r="E29" s="68"/>
      <c r="F29" s="68">
        <v>419031.14</v>
      </c>
      <c r="G29" s="68">
        <v>389786.18</v>
      </c>
      <c r="H29" s="68">
        <v>578807.49</v>
      </c>
      <c r="I29" s="68">
        <v>426980.25</v>
      </c>
      <c r="J29" s="68">
        <v>49967.51</v>
      </c>
      <c r="K29" s="68">
        <v>30446.57</v>
      </c>
      <c r="L29" s="68">
        <v>38425.21</v>
      </c>
      <c r="M29" s="68">
        <v>27920.63</v>
      </c>
      <c r="N29" s="68"/>
      <c r="O29" s="69">
        <f t="shared" si="2"/>
        <v>-6.9791853655554181E-2</v>
      </c>
      <c r="P29" s="69">
        <f t="shared" si="2"/>
        <v>0.48493589485394284</v>
      </c>
      <c r="Q29" s="69">
        <f t="shared" si="2"/>
        <v>-0.26231042725449183</v>
      </c>
      <c r="R29" s="69">
        <f t="shared" si="3"/>
        <v>5.0944537981298943E-2</v>
      </c>
      <c r="S29" s="68"/>
      <c r="T29" s="69">
        <f t="shared" si="4"/>
        <v>-0.39067265909387927</v>
      </c>
      <c r="U29" s="69">
        <f t="shared" si="4"/>
        <v>0.26205382084090267</v>
      </c>
      <c r="V29" s="69">
        <f t="shared" si="4"/>
        <v>-0.27337729579096637</v>
      </c>
      <c r="W29" s="78">
        <f t="shared" si="5"/>
        <v>-0.133998711347981</v>
      </c>
      <c r="X29" s="68"/>
      <c r="Y29" s="68"/>
      <c r="Z29" s="68"/>
      <c r="AA29" s="70">
        <v>2005</v>
      </c>
      <c r="AB29" s="70">
        <f t="shared" si="6"/>
        <v>16</v>
      </c>
      <c r="AC29" s="70">
        <v>7</v>
      </c>
      <c r="AD29" s="70">
        <v>1</v>
      </c>
      <c r="AE29" s="70" t="s">
        <v>66</v>
      </c>
    </row>
    <row r="30" spans="1:31" s="71" customFormat="1" x14ac:dyDescent="0.25">
      <c r="A30" s="67" t="s">
        <v>156</v>
      </c>
      <c r="B30" s="68"/>
      <c r="C30" s="68"/>
      <c r="D30" s="68"/>
      <c r="E30" s="68"/>
      <c r="F30" s="68">
        <v>1543028</v>
      </c>
      <c r="G30" s="68">
        <v>1464980</v>
      </c>
      <c r="H30" s="68">
        <v>1623450</v>
      </c>
      <c r="I30" s="68">
        <v>1806777</v>
      </c>
      <c r="J30" s="68">
        <v>186195</v>
      </c>
      <c r="K30" s="68">
        <v>155547</v>
      </c>
      <c r="L30" s="68">
        <v>141706</v>
      </c>
      <c r="M30" s="68">
        <v>132296</v>
      </c>
      <c r="N30" s="68"/>
      <c r="O30" s="69">
        <f t="shared" si="2"/>
        <v>-5.058106528202988E-2</v>
      </c>
      <c r="P30" s="69">
        <f t="shared" si="2"/>
        <v>0.10817212521672648</v>
      </c>
      <c r="Q30" s="69">
        <f t="shared" si="2"/>
        <v>0.11292432782038242</v>
      </c>
      <c r="R30" s="69">
        <f t="shared" si="3"/>
        <v>5.6838462585026339E-2</v>
      </c>
      <c r="S30" s="68"/>
      <c r="T30" s="69">
        <f t="shared" si="4"/>
        <v>-0.16460162732619033</v>
      </c>
      <c r="U30" s="69">
        <f t="shared" si="4"/>
        <v>-8.8982751194172871E-2</v>
      </c>
      <c r="V30" s="69">
        <f t="shared" si="4"/>
        <v>-6.6405092233215224E-2</v>
      </c>
      <c r="W30" s="78">
        <f t="shared" si="5"/>
        <v>-0.10666315691785948</v>
      </c>
      <c r="X30" s="68"/>
      <c r="Y30" s="68"/>
      <c r="Z30" s="68"/>
      <c r="AA30" s="70">
        <v>2011</v>
      </c>
      <c r="AB30" s="70">
        <f t="shared" si="6"/>
        <v>10</v>
      </c>
      <c r="AC30" s="70">
        <v>1</v>
      </c>
      <c r="AD30" s="70">
        <v>1</v>
      </c>
      <c r="AE30" s="70" t="s">
        <v>5</v>
      </c>
    </row>
    <row r="31" spans="1:31" s="71" customFormat="1" ht="41.45" customHeight="1" x14ac:dyDescent="0.25">
      <c r="A31" s="67" t="s">
        <v>163</v>
      </c>
      <c r="B31" s="68"/>
      <c r="C31" s="68"/>
      <c r="D31" s="68"/>
      <c r="E31" s="68"/>
      <c r="F31" s="68">
        <v>889847</v>
      </c>
      <c r="G31" s="68">
        <v>1520956</v>
      </c>
      <c r="H31" s="68">
        <v>2719625</v>
      </c>
      <c r="I31" s="68">
        <v>3118499</v>
      </c>
      <c r="J31" s="68">
        <v>194366</v>
      </c>
      <c r="K31" s="68">
        <v>162933</v>
      </c>
      <c r="L31" s="68">
        <v>137350</v>
      </c>
      <c r="M31" s="68">
        <v>106570</v>
      </c>
      <c r="N31" s="68"/>
      <c r="O31" s="69">
        <f t="shared" si="2"/>
        <v>0.70923316030733363</v>
      </c>
      <c r="P31" s="69">
        <f t="shared" si="2"/>
        <v>0.78810235141582008</v>
      </c>
      <c r="Q31" s="69">
        <f t="shared" si="2"/>
        <v>0.14666507330973944</v>
      </c>
      <c r="R31" s="69">
        <f t="shared" si="3"/>
        <v>0.54800019501096442</v>
      </c>
      <c r="S31" s="68"/>
      <c r="T31" s="69">
        <f t="shared" si="4"/>
        <v>-0.16172067131082601</v>
      </c>
      <c r="U31" s="69">
        <f t="shared" si="4"/>
        <v>-0.15701546034259484</v>
      </c>
      <c r="V31" s="69">
        <f t="shared" si="4"/>
        <v>-0.22409901710957403</v>
      </c>
      <c r="W31" s="78">
        <f t="shared" si="5"/>
        <v>-0.18094504958766497</v>
      </c>
      <c r="X31" s="68"/>
      <c r="Y31" s="68"/>
      <c r="Z31" s="68"/>
      <c r="AA31" s="70">
        <v>2001</v>
      </c>
      <c r="AB31" s="70">
        <f t="shared" si="6"/>
        <v>20</v>
      </c>
      <c r="AC31" s="70">
        <v>4</v>
      </c>
      <c r="AD31" s="70">
        <v>1</v>
      </c>
      <c r="AE31" s="70" t="s">
        <v>5</v>
      </c>
    </row>
    <row r="32" spans="1:31" s="40" customFormat="1" x14ac:dyDescent="0.25">
      <c r="A32" s="63" t="s">
        <v>165</v>
      </c>
      <c r="B32" s="64"/>
      <c r="C32" s="64"/>
      <c r="D32" s="64"/>
      <c r="E32" s="64"/>
      <c r="F32" s="64">
        <v>11539260</v>
      </c>
      <c r="G32" s="64">
        <v>12088120</v>
      </c>
      <c r="H32" s="64">
        <v>8130207</v>
      </c>
      <c r="I32" s="64">
        <v>6460794</v>
      </c>
      <c r="J32" s="64">
        <v>5617386</v>
      </c>
      <c r="K32" s="64">
        <v>5251833</v>
      </c>
      <c r="L32" s="64">
        <v>5100482</v>
      </c>
      <c r="M32" s="64">
        <v>4893683</v>
      </c>
      <c r="N32" s="64"/>
      <c r="O32" s="65">
        <f t="shared" si="2"/>
        <v>4.7564575198062897E-2</v>
      </c>
      <c r="P32" s="65">
        <f t="shared" si="2"/>
        <v>-0.32742171652829388</v>
      </c>
      <c r="Q32" s="65">
        <f t="shared" si="2"/>
        <v>-0.20533462432137339</v>
      </c>
      <c r="R32" s="78">
        <f t="shared" si="3"/>
        <v>-0.16173058855053479</v>
      </c>
      <c r="S32" s="64"/>
      <c r="T32" s="65">
        <f t="shared" si="4"/>
        <v>-6.5075285907003733E-2</v>
      </c>
      <c r="U32" s="65">
        <f t="shared" si="4"/>
        <v>-2.8818700061483349E-2</v>
      </c>
      <c r="V32" s="65">
        <f t="shared" si="4"/>
        <v>-4.0544991630202754E-2</v>
      </c>
      <c r="W32" s="78">
        <f t="shared" si="5"/>
        <v>-4.4812992532896612E-2</v>
      </c>
      <c r="X32" s="64"/>
      <c r="Y32" s="64"/>
      <c r="Z32" s="64"/>
      <c r="AA32" s="39">
        <v>1978</v>
      </c>
      <c r="AB32" s="39">
        <f t="shared" si="6"/>
        <v>43</v>
      </c>
      <c r="AC32" s="39">
        <v>1</v>
      </c>
      <c r="AD32" s="39">
        <v>1</v>
      </c>
      <c r="AE32" s="39" t="s">
        <v>166</v>
      </c>
    </row>
    <row r="33" spans="1:31" ht="30" x14ac:dyDescent="0.25">
      <c r="A33" s="4" t="s">
        <v>168</v>
      </c>
      <c r="B33" s="5"/>
      <c r="C33" s="5"/>
      <c r="D33" s="5"/>
      <c r="E33" s="5"/>
      <c r="F33" s="5">
        <v>61712079.020000003</v>
      </c>
      <c r="G33" s="5">
        <v>62740589.740000002</v>
      </c>
      <c r="H33" s="5">
        <v>61437584.619999997</v>
      </c>
      <c r="I33" s="5">
        <v>73167950.989999995</v>
      </c>
      <c r="J33" s="5">
        <f>27464424.88+84647.48</f>
        <v>27549072.359999999</v>
      </c>
      <c r="K33" s="5">
        <f>26969908.99+78332.68</f>
        <v>27048241.669999998</v>
      </c>
      <c r="L33" s="5">
        <v>28288496.41</v>
      </c>
      <c r="M33" s="5">
        <v>52286217.950000003</v>
      </c>
      <c r="N33" s="5"/>
      <c r="O33" s="60">
        <f t="shared" si="2"/>
        <v>1.6666278892770281E-2</v>
      </c>
      <c r="P33" s="60">
        <f t="shared" si="2"/>
        <v>-2.0768136311751562E-2</v>
      </c>
      <c r="Q33" s="60">
        <f t="shared" si="2"/>
        <v>0.19093143785768829</v>
      </c>
      <c r="R33" s="60">
        <f t="shared" si="3"/>
        <v>6.2276526812902334E-2</v>
      </c>
      <c r="S33" s="64"/>
      <c r="T33" s="60">
        <f t="shared" si="4"/>
        <v>-1.817958454119073E-2</v>
      </c>
      <c r="U33" s="60">
        <f t="shared" si="4"/>
        <v>4.5853433104141583E-2</v>
      </c>
      <c r="V33" s="60">
        <f t="shared" si="4"/>
        <v>0.84832085778573907</v>
      </c>
      <c r="W33" s="60">
        <f t="shared" si="5"/>
        <v>0.29199823544956333</v>
      </c>
      <c r="X33" s="5"/>
      <c r="Y33" s="5"/>
      <c r="Z33" s="5"/>
      <c r="AA33" s="39">
        <v>1963</v>
      </c>
      <c r="AB33" s="39">
        <f t="shared" si="6"/>
        <v>58</v>
      </c>
      <c r="AC33" s="39">
        <v>1</v>
      </c>
      <c r="AD33" s="39">
        <v>1</v>
      </c>
      <c r="AE33" s="39" t="s">
        <v>171</v>
      </c>
    </row>
    <row r="34" spans="1:31" s="71" customFormat="1" ht="30" x14ac:dyDescent="0.25">
      <c r="A34" s="67" t="s">
        <v>173</v>
      </c>
      <c r="B34" s="68"/>
      <c r="C34" s="68"/>
      <c r="D34" s="68"/>
      <c r="E34" s="68"/>
      <c r="F34" s="68">
        <v>4489670.6900000004</v>
      </c>
      <c r="G34" s="68">
        <v>4905298.12</v>
      </c>
      <c r="H34" s="68">
        <v>4947306.8099999996</v>
      </c>
      <c r="I34" s="68">
        <v>4722202.92</v>
      </c>
      <c r="J34" s="68">
        <v>2276331.75</v>
      </c>
      <c r="K34" s="68">
        <v>2157654.31</v>
      </c>
      <c r="L34" s="68">
        <v>2078850.7</v>
      </c>
      <c r="M34" s="68">
        <v>2000333.6</v>
      </c>
      <c r="N34" s="68"/>
      <c r="O34" s="69">
        <f t="shared" si="2"/>
        <v>9.2574146011586311E-2</v>
      </c>
      <c r="P34" s="69">
        <f t="shared" si="2"/>
        <v>8.5639422869572268E-3</v>
      </c>
      <c r="Q34" s="69">
        <f t="shared" si="2"/>
        <v>-4.5500289075461553E-2</v>
      </c>
      <c r="R34" s="69">
        <f t="shared" si="3"/>
        <v>1.8545933074360661E-2</v>
      </c>
      <c r="S34" s="68"/>
      <c r="T34" s="69">
        <f t="shared" si="4"/>
        <v>-5.213538843799892E-2</v>
      </c>
      <c r="U34" s="69">
        <f t="shared" si="4"/>
        <v>-3.6522815371661688E-2</v>
      </c>
      <c r="V34" s="69">
        <f t="shared" si="4"/>
        <v>-3.7769475220129967E-2</v>
      </c>
      <c r="W34" s="78">
        <f t="shared" si="5"/>
        <v>-4.2142559676596858E-2</v>
      </c>
      <c r="X34" s="68"/>
      <c r="Y34" s="68"/>
      <c r="Z34" s="68"/>
      <c r="AA34" s="70">
        <v>1992</v>
      </c>
      <c r="AB34" s="70">
        <f t="shared" si="6"/>
        <v>29</v>
      </c>
      <c r="AC34" s="70">
        <v>1</v>
      </c>
      <c r="AD34" s="70">
        <v>1</v>
      </c>
      <c r="AE34" s="70" t="s">
        <v>171</v>
      </c>
    </row>
    <row r="35" spans="1:31" x14ac:dyDescent="0.25">
      <c r="A35" s="4" t="s">
        <v>176</v>
      </c>
      <c r="B35" s="5"/>
      <c r="C35" s="5"/>
      <c r="D35" s="5"/>
      <c r="E35" s="5"/>
      <c r="F35" s="5">
        <v>626752000</v>
      </c>
      <c r="G35" s="5">
        <v>638383000</v>
      </c>
      <c r="H35" s="5">
        <v>680138487.11000001</v>
      </c>
      <c r="I35" s="5">
        <v>688620704.78999996</v>
      </c>
      <c r="J35" s="5">
        <f>364701000+186703000+516000</f>
        <v>551920000</v>
      </c>
      <c r="K35" s="5">
        <f>375576000+182419000+466000</f>
        <v>558461000</v>
      </c>
      <c r="L35" s="5">
        <f>588796580.1-31287047.09</f>
        <v>557509533.00999999</v>
      </c>
      <c r="M35" s="5">
        <f>591440239.79-33140218.87</f>
        <v>558300020.91999996</v>
      </c>
      <c r="N35" s="5"/>
      <c r="O35" s="60">
        <f t="shared" si="2"/>
        <v>1.8557579393444268E-2</v>
      </c>
      <c r="P35" s="60">
        <f t="shared" si="2"/>
        <v>6.540820653118895E-2</v>
      </c>
      <c r="Q35" s="60">
        <f t="shared" si="2"/>
        <v>1.2471309653482532E-2</v>
      </c>
      <c r="R35" s="60">
        <f t="shared" si="3"/>
        <v>3.2145698526038581E-2</v>
      </c>
      <c r="S35" s="64"/>
      <c r="T35" s="60">
        <f t="shared" si="4"/>
        <v>1.1851355268879482E-2</v>
      </c>
      <c r="U35" s="60">
        <f t="shared" si="4"/>
        <v>-1.7037304126877872E-3</v>
      </c>
      <c r="V35" s="60">
        <f t="shared" si="4"/>
        <v>1.4178912883016093E-3</v>
      </c>
      <c r="W35" s="60">
        <f t="shared" si="5"/>
        <v>3.8551720481644347E-3</v>
      </c>
      <c r="X35" s="5"/>
      <c r="Y35" s="5"/>
      <c r="Z35" s="5"/>
      <c r="AA35" s="39">
        <v>1947</v>
      </c>
      <c r="AB35" s="39">
        <f t="shared" si="6"/>
        <v>74</v>
      </c>
      <c r="AC35" s="39">
        <v>1</v>
      </c>
      <c r="AD35" s="39">
        <v>1</v>
      </c>
      <c r="AE35" s="39" t="s">
        <v>17</v>
      </c>
    </row>
    <row r="36" spans="1:31" ht="30" x14ac:dyDescent="0.25">
      <c r="A36" s="4" t="s">
        <v>180</v>
      </c>
      <c r="B36" s="5"/>
      <c r="C36" s="5"/>
      <c r="D36" s="5"/>
      <c r="E36" s="5"/>
      <c r="F36" s="5">
        <v>69918262</v>
      </c>
      <c r="G36" s="5">
        <v>63791998</v>
      </c>
      <c r="H36" s="5">
        <v>58523451</v>
      </c>
      <c r="I36" s="5">
        <v>75394325</v>
      </c>
      <c r="J36" s="5">
        <f>44893271-5000934</f>
        <v>39892337</v>
      </c>
      <c r="K36" s="5">
        <f>41160577-36000</f>
        <v>41124577</v>
      </c>
      <c r="L36" s="5">
        <f>41141520-31200</f>
        <v>41110320</v>
      </c>
      <c r="M36" s="5">
        <f>51686720-10994988</f>
        <v>40691732</v>
      </c>
      <c r="N36" s="5"/>
      <c r="O36" s="60">
        <f t="shared" si="2"/>
        <v>-8.7620370197417086E-2</v>
      </c>
      <c r="P36" s="60">
        <f t="shared" si="2"/>
        <v>-8.258946521787891E-2</v>
      </c>
      <c r="Q36" s="60">
        <f t="shared" si="2"/>
        <v>0.28827544705113173</v>
      </c>
      <c r="R36" s="60">
        <f t="shared" si="3"/>
        <v>3.9355203878611911E-2</v>
      </c>
      <c r="S36" s="64"/>
      <c r="T36" s="60">
        <f t="shared" si="4"/>
        <v>3.0889140438174811E-2</v>
      </c>
      <c r="U36" s="60">
        <f t="shared" si="4"/>
        <v>-3.4667833787083158E-4</v>
      </c>
      <c r="V36" s="60">
        <f t="shared" si="4"/>
        <v>-1.0182066206246954E-2</v>
      </c>
      <c r="W36" s="60">
        <f t="shared" si="5"/>
        <v>6.7867986313523421E-3</v>
      </c>
      <c r="X36" s="5"/>
      <c r="Y36" s="5"/>
      <c r="Z36" s="5"/>
      <c r="AA36" s="39">
        <v>1980</v>
      </c>
      <c r="AB36" s="39">
        <f t="shared" si="6"/>
        <v>41</v>
      </c>
      <c r="AC36" s="39">
        <v>3</v>
      </c>
      <c r="AD36" s="39">
        <v>1</v>
      </c>
      <c r="AE36" s="39" t="s">
        <v>181</v>
      </c>
    </row>
    <row r="37" spans="1:31" x14ac:dyDescent="0.25">
      <c r="A37" s="4" t="s">
        <v>183</v>
      </c>
      <c r="B37" s="5"/>
      <c r="C37" s="5"/>
      <c r="D37" s="5"/>
      <c r="E37" s="5"/>
      <c r="F37" s="5">
        <v>1769924</v>
      </c>
      <c r="G37" s="5">
        <v>1780868</v>
      </c>
      <c r="H37" s="5">
        <v>1947135</v>
      </c>
      <c r="I37" s="5">
        <v>4597123</v>
      </c>
      <c r="J37" s="5">
        <f>135074+5787</f>
        <v>140861</v>
      </c>
      <c r="K37" s="5">
        <f>193034+2450</f>
        <v>195484</v>
      </c>
      <c r="L37" s="5">
        <f>580+3508</f>
        <v>4088</v>
      </c>
      <c r="M37" s="5">
        <f>9864+1472+10834</f>
        <v>22170</v>
      </c>
      <c r="N37" s="5"/>
      <c r="O37" s="60">
        <f t="shared" si="2"/>
        <v>6.1833163457865048E-3</v>
      </c>
      <c r="P37" s="60">
        <f t="shared" si="2"/>
        <v>9.3362899440048386E-2</v>
      </c>
      <c r="Q37" s="60">
        <f t="shared" si="2"/>
        <v>1.3609677808677878</v>
      </c>
      <c r="R37" s="60">
        <f t="shared" si="3"/>
        <v>0.48683799888454088</v>
      </c>
      <c r="S37" s="64"/>
      <c r="T37" s="60">
        <f t="shared" si="4"/>
        <v>0.3877794421450933</v>
      </c>
      <c r="U37" s="60">
        <f t="shared" si="4"/>
        <v>-0.97908780258230854</v>
      </c>
      <c r="V37" s="60">
        <f t="shared" si="4"/>
        <v>4.4231898238747558</v>
      </c>
      <c r="W37" s="77">
        <f t="shared" si="5"/>
        <v>1.2772938211458469</v>
      </c>
      <c r="X37" s="5"/>
      <c r="Y37" s="5"/>
      <c r="Z37" s="5"/>
      <c r="AA37" s="39">
        <v>1997</v>
      </c>
      <c r="AB37" s="39">
        <f t="shared" si="6"/>
        <v>24</v>
      </c>
      <c r="AC37" s="39">
        <v>1</v>
      </c>
      <c r="AD37" s="39">
        <v>1</v>
      </c>
      <c r="AE37" s="39" t="s">
        <v>185</v>
      </c>
    </row>
    <row r="38" spans="1:31" ht="30" x14ac:dyDescent="0.25">
      <c r="A38" s="4" t="s">
        <v>187</v>
      </c>
      <c r="B38" s="5"/>
      <c r="C38" s="5"/>
      <c r="D38" s="5"/>
      <c r="E38" s="5"/>
      <c r="F38" s="5">
        <v>125430000</v>
      </c>
      <c r="G38" s="5">
        <v>139088000</v>
      </c>
      <c r="H38" s="5">
        <v>154140000</v>
      </c>
      <c r="I38" s="5">
        <v>172942000</v>
      </c>
      <c r="J38" s="5">
        <v>71943000</v>
      </c>
      <c r="K38" s="5">
        <v>71596000</v>
      </c>
      <c r="L38" s="5">
        <f>78760000-151000</f>
        <v>78609000</v>
      </c>
      <c r="M38" s="5">
        <f>73238000-111000</f>
        <v>73127000</v>
      </c>
      <c r="N38" s="5"/>
      <c r="O38" s="60">
        <f t="shared" si="2"/>
        <v>0.10888942039384508</v>
      </c>
      <c r="P38" s="60">
        <f t="shared" si="2"/>
        <v>0.10821925687334644</v>
      </c>
      <c r="Q38" s="60">
        <f t="shared" si="2"/>
        <v>0.12198001816530435</v>
      </c>
      <c r="R38" s="60">
        <f t="shared" si="3"/>
        <v>0.11302956514416529</v>
      </c>
      <c r="S38" s="64"/>
      <c r="T38" s="60">
        <f t="shared" si="4"/>
        <v>-4.8232628608759764E-3</v>
      </c>
      <c r="U38" s="60">
        <f t="shared" si="4"/>
        <v>9.7952399575395255E-2</v>
      </c>
      <c r="V38" s="60">
        <f t="shared" si="4"/>
        <v>-6.9737561856784813E-2</v>
      </c>
      <c r="W38" s="60">
        <f t="shared" si="5"/>
        <v>7.7971916192448214E-3</v>
      </c>
      <c r="X38" s="5"/>
      <c r="Y38" s="5"/>
      <c r="Z38" s="5"/>
      <c r="AA38" s="39">
        <v>1991</v>
      </c>
      <c r="AB38" s="39">
        <f t="shared" si="6"/>
        <v>30</v>
      </c>
      <c r="AC38" s="39">
        <v>3</v>
      </c>
      <c r="AD38" s="39">
        <v>1</v>
      </c>
      <c r="AE38" s="39" t="s">
        <v>5</v>
      </c>
    </row>
    <row r="39" spans="1:31" s="71" customFormat="1" ht="30" x14ac:dyDescent="0.25">
      <c r="A39" s="67" t="s">
        <v>190</v>
      </c>
      <c r="B39" s="68"/>
      <c r="C39" s="68"/>
      <c r="D39" s="68"/>
      <c r="E39" s="68"/>
      <c r="F39" s="68">
        <v>23089000</v>
      </c>
      <c r="G39" s="68">
        <v>27838000</v>
      </c>
      <c r="H39" s="68">
        <v>46712000</v>
      </c>
      <c r="I39" s="68">
        <v>44153000</v>
      </c>
      <c r="J39" s="68">
        <v>2062000</v>
      </c>
      <c r="K39" s="68">
        <v>2737000</v>
      </c>
      <c r="L39" s="68">
        <v>2628000</v>
      </c>
      <c r="M39" s="68">
        <v>1845000</v>
      </c>
      <c r="N39" s="68"/>
      <c r="O39" s="69">
        <f t="shared" si="2"/>
        <v>0.2056823595651609</v>
      </c>
      <c r="P39" s="69">
        <f t="shared" si="2"/>
        <v>0.67799410877218191</v>
      </c>
      <c r="Q39" s="69">
        <f t="shared" si="2"/>
        <v>-5.478249700291149E-2</v>
      </c>
      <c r="R39" s="69">
        <f t="shared" si="3"/>
        <v>0.27629799044481046</v>
      </c>
      <c r="S39" s="68"/>
      <c r="T39" s="69">
        <f t="shared" si="4"/>
        <v>0.32735208535402527</v>
      </c>
      <c r="U39" s="69">
        <f t="shared" si="4"/>
        <v>-3.9824625502374866E-2</v>
      </c>
      <c r="V39" s="69">
        <f t="shared" si="4"/>
        <v>-0.29794520547945202</v>
      </c>
      <c r="W39" s="69">
        <f t="shared" si="5"/>
        <v>-3.4725818759338742E-3</v>
      </c>
      <c r="X39" s="68"/>
      <c r="Y39" s="68"/>
      <c r="Z39" s="68"/>
      <c r="AA39" s="70">
        <v>1996</v>
      </c>
      <c r="AB39" s="70">
        <f t="shared" si="6"/>
        <v>25</v>
      </c>
      <c r="AC39" s="70">
        <v>4</v>
      </c>
      <c r="AD39" s="70">
        <v>1</v>
      </c>
      <c r="AE39" s="70" t="s">
        <v>192</v>
      </c>
    </row>
    <row r="40" spans="1:31" s="40" customFormat="1" x14ac:dyDescent="0.25">
      <c r="A40" s="63" t="s">
        <v>194</v>
      </c>
      <c r="B40" s="64"/>
      <c r="C40" s="64"/>
      <c r="D40" s="64"/>
      <c r="E40" s="64"/>
      <c r="F40" s="64">
        <v>149056.70000000001</v>
      </c>
      <c r="G40" s="64">
        <v>180709.98</v>
      </c>
      <c r="H40" s="64">
        <f>172179.73</f>
        <v>172179.73</v>
      </c>
      <c r="I40" s="64">
        <v>124178.1</v>
      </c>
      <c r="J40" s="64">
        <v>78946.31</v>
      </c>
      <c r="K40" s="64">
        <v>150489.57999999999</v>
      </c>
      <c r="L40" s="64">
        <v>148444.82</v>
      </c>
      <c r="M40" s="64">
        <v>35513.29</v>
      </c>
      <c r="N40" s="64"/>
      <c r="O40" s="65">
        <f t="shared" si="2"/>
        <v>0.21235731100983712</v>
      </c>
      <c r="P40" s="65">
        <f t="shared" si="2"/>
        <v>-4.7204089115609471E-2</v>
      </c>
      <c r="Q40" s="65">
        <f t="shared" si="2"/>
        <v>-0.27878792701092048</v>
      </c>
      <c r="R40" s="65">
        <f t="shared" si="3"/>
        <v>-3.7878235038897611E-2</v>
      </c>
      <c r="S40" s="64"/>
      <c r="T40" s="65">
        <f t="shared" si="4"/>
        <v>0.90622690281534357</v>
      </c>
      <c r="U40" s="65">
        <f t="shared" si="4"/>
        <v>-1.3587385917350425E-2</v>
      </c>
      <c r="V40" s="65">
        <f t="shared" si="4"/>
        <v>-0.76076437022187771</v>
      </c>
      <c r="W40" s="65">
        <f t="shared" si="5"/>
        <v>4.3958382225371816E-2</v>
      </c>
      <c r="X40" s="64"/>
      <c r="Y40" s="64"/>
      <c r="Z40" s="64"/>
      <c r="AA40" s="39">
        <v>1985</v>
      </c>
      <c r="AB40" s="39">
        <f t="shared" si="6"/>
        <v>36</v>
      </c>
      <c r="AC40" s="39">
        <v>3</v>
      </c>
      <c r="AD40" s="39">
        <v>2</v>
      </c>
      <c r="AE40" s="39" t="s">
        <v>195</v>
      </c>
    </row>
    <row r="41" spans="1:31" s="15" customFormat="1" x14ac:dyDescent="0.25">
      <c r="A41" s="11" t="s">
        <v>197</v>
      </c>
      <c r="B41" s="14"/>
      <c r="C41" s="14"/>
      <c r="D41" s="14"/>
      <c r="E41" s="14"/>
      <c r="F41" s="14">
        <v>12971479</v>
      </c>
      <c r="G41" s="14">
        <v>12428688</v>
      </c>
      <c r="H41" s="14">
        <v>17223240</v>
      </c>
      <c r="I41" s="14">
        <v>23442436</v>
      </c>
      <c r="J41" s="14">
        <f>4099031+22565</f>
        <v>4121596</v>
      </c>
      <c r="K41" s="14">
        <f>3868485-21777</f>
        <v>3846708</v>
      </c>
      <c r="L41" s="14">
        <f>5582240+12990</f>
        <v>5595230</v>
      </c>
      <c r="M41" s="14">
        <f>5756394+12435</f>
        <v>5768829</v>
      </c>
      <c r="N41" s="14"/>
      <c r="O41" s="60">
        <f t="shared" si="2"/>
        <v>-4.1844958466185744E-2</v>
      </c>
      <c r="P41" s="60">
        <f t="shared" si="2"/>
        <v>0.38576493351510632</v>
      </c>
      <c r="Q41" s="60">
        <f t="shared" si="2"/>
        <v>0.36109326700434985</v>
      </c>
      <c r="R41" s="60">
        <f t="shared" si="3"/>
        <v>0.23500441401775682</v>
      </c>
      <c r="S41" s="64"/>
      <c r="T41" s="60">
        <f t="shared" si="4"/>
        <v>-6.6694552304495613E-2</v>
      </c>
      <c r="U41" s="60">
        <f t="shared" si="4"/>
        <v>0.45455022840309178</v>
      </c>
      <c r="V41" s="60">
        <f t="shared" si="4"/>
        <v>3.1026249144360474E-2</v>
      </c>
      <c r="W41" s="60">
        <f t="shared" si="5"/>
        <v>0.13962730841431889</v>
      </c>
      <c r="X41" s="14"/>
      <c r="Y41" s="14"/>
      <c r="Z41" s="14"/>
      <c r="AA41" s="44">
        <v>1998</v>
      </c>
      <c r="AB41" s="44">
        <f t="shared" si="6"/>
        <v>23</v>
      </c>
      <c r="AC41" s="44">
        <v>2</v>
      </c>
      <c r="AD41" s="44">
        <v>2</v>
      </c>
      <c r="AE41" s="44" t="s">
        <v>5</v>
      </c>
    </row>
    <row r="42" spans="1:31" s="22" customFormat="1" x14ac:dyDescent="0.25">
      <c r="A42" s="18" t="s">
        <v>202</v>
      </c>
      <c r="B42" s="21"/>
      <c r="C42" s="21"/>
      <c r="D42" s="21"/>
      <c r="E42" s="21"/>
      <c r="F42" s="21">
        <v>9295334</v>
      </c>
      <c r="G42" s="21">
        <v>12341290</v>
      </c>
      <c r="H42" s="21">
        <v>18117949</v>
      </c>
      <c r="I42" s="21">
        <v>43136492</v>
      </c>
      <c r="J42" s="21">
        <v>3982720</v>
      </c>
      <c r="K42" s="21">
        <v>3900203</v>
      </c>
      <c r="L42" s="21">
        <f>3446915+376688+2910</f>
        <v>3826513</v>
      </c>
      <c r="M42" s="21">
        <f>3635502+321210+29120</f>
        <v>3985832</v>
      </c>
      <c r="N42" s="21"/>
      <c r="O42" s="62">
        <f t="shared" si="2"/>
        <v>0.32768655757824305</v>
      </c>
      <c r="P42" s="62">
        <f t="shared" si="2"/>
        <v>0.46807578462219102</v>
      </c>
      <c r="Q42" s="62">
        <f t="shared" si="2"/>
        <v>1.3808705941274035</v>
      </c>
      <c r="R42" s="62">
        <f t="shared" si="3"/>
        <v>0.72554431210927917</v>
      </c>
      <c r="S42" s="64"/>
      <c r="T42" s="62">
        <f t="shared" si="4"/>
        <v>-2.0718755021693736E-2</v>
      </c>
      <c r="U42" s="62">
        <f t="shared" si="4"/>
        <v>-1.8893888343760601E-2</v>
      </c>
      <c r="V42" s="62">
        <f t="shared" si="4"/>
        <v>4.1635556967923648E-2</v>
      </c>
      <c r="W42" s="62">
        <f t="shared" si="5"/>
        <v>6.7430453415643721E-4</v>
      </c>
      <c r="X42" s="21"/>
      <c r="Y42" s="21"/>
      <c r="Z42" s="21"/>
      <c r="AA42" s="52">
        <v>1946</v>
      </c>
      <c r="AB42" s="52">
        <f t="shared" si="6"/>
        <v>75</v>
      </c>
      <c r="AC42" s="52">
        <v>1</v>
      </c>
      <c r="AD42" s="52">
        <v>2</v>
      </c>
      <c r="AE42" s="52" t="s">
        <v>5</v>
      </c>
    </row>
    <row r="43" spans="1:31" s="40" customFormat="1" x14ac:dyDescent="0.25">
      <c r="A43" s="63" t="s">
        <v>205</v>
      </c>
      <c r="B43" s="64"/>
      <c r="C43" s="64"/>
      <c r="D43" s="64"/>
      <c r="E43" s="64"/>
      <c r="F43" s="64">
        <f>104025000</f>
        <v>104025000</v>
      </c>
      <c r="G43" s="64">
        <v>106680000</v>
      </c>
      <c r="H43" s="64">
        <v>101239000</v>
      </c>
      <c r="I43" s="64">
        <v>98944000</v>
      </c>
      <c r="J43" s="64">
        <v>6075000</v>
      </c>
      <c r="K43" s="64">
        <v>7631000</v>
      </c>
      <c r="L43" s="64">
        <v>7670000</v>
      </c>
      <c r="M43" s="64">
        <v>7404000</v>
      </c>
      <c r="N43" s="64"/>
      <c r="O43" s="65">
        <f t="shared" si="2"/>
        <v>2.5522710886806133E-2</v>
      </c>
      <c r="P43" s="65">
        <f t="shared" si="2"/>
        <v>-5.1002999625046841E-2</v>
      </c>
      <c r="Q43" s="65">
        <f t="shared" si="2"/>
        <v>-2.2669129485672568E-2</v>
      </c>
      <c r="R43" s="65">
        <f t="shared" si="3"/>
        <v>-1.6049806074637758E-2</v>
      </c>
      <c r="S43" s="64"/>
      <c r="T43" s="65">
        <f t="shared" si="4"/>
        <v>0.25613168724279833</v>
      </c>
      <c r="U43" s="65">
        <f t="shared" si="4"/>
        <v>5.110732538330387E-3</v>
      </c>
      <c r="V43" s="65">
        <f t="shared" si="4"/>
        <v>-3.4680573663624537E-2</v>
      </c>
      <c r="W43" s="65">
        <f t="shared" si="5"/>
        <v>7.552061537250139E-2</v>
      </c>
      <c r="X43" s="64"/>
      <c r="Y43" s="64"/>
      <c r="Z43" s="64"/>
      <c r="AA43" s="39">
        <v>2008</v>
      </c>
      <c r="AB43" s="39">
        <f t="shared" si="6"/>
        <v>13</v>
      </c>
      <c r="AC43" s="39">
        <v>4</v>
      </c>
      <c r="AD43" s="39">
        <v>2</v>
      </c>
      <c r="AE43" s="39" t="s">
        <v>147</v>
      </c>
    </row>
    <row r="44" spans="1:31" s="71" customFormat="1" x14ac:dyDescent="0.25">
      <c r="A44" s="67" t="s">
        <v>208</v>
      </c>
      <c r="B44" s="68"/>
      <c r="C44" s="68"/>
      <c r="D44" s="68"/>
      <c r="E44" s="68"/>
      <c r="F44" s="68">
        <v>43475338</v>
      </c>
      <c r="G44" s="68">
        <v>46586058</v>
      </c>
      <c r="H44" s="68">
        <v>49134176</v>
      </c>
      <c r="I44" s="68">
        <v>57195177</v>
      </c>
      <c r="J44" s="68">
        <f>304555+51002</f>
        <v>355557</v>
      </c>
      <c r="K44" s="68">
        <f>232380+48948</f>
        <v>281328</v>
      </c>
      <c r="L44" s="68">
        <v>199281</v>
      </c>
      <c r="M44" s="68">
        <v>207785</v>
      </c>
      <c r="N44" s="68"/>
      <c r="O44" s="69">
        <f t="shared" si="2"/>
        <v>7.1551370112407087E-2</v>
      </c>
      <c r="P44" s="69">
        <f t="shared" si="2"/>
        <v>5.4697008276596293E-2</v>
      </c>
      <c r="Q44" s="69">
        <f t="shared" si="2"/>
        <v>0.16406097865567126</v>
      </c>
      <c r="R44" s="69">
        <f t="shared" si="3"/>
        <v>9.676978568155821E-2</v>
      </c>
      <c r="S44" s="68"/>
      <c r="T44" s="69">
        <f t="shared" si="4"/>
        <v>-0.20876821437912907</v>
      </c>
      <c r="U44" s="69">
        <f t="shared" si="4"/>
        <v>-0.29164178467838253</v>
      </c>
      <c r="V44" s="69">
        <f t="shared" si="4"/>
        <v>4.2673410912229537E-2</v>
      </c>
      <c r="W44" s="69">
        <f t="shared" si="5"/>
        <v>-0.15257886271509402</v>
      </c>
      <c r="X44" s="68"/>
      <c r="Y44" s="68"/>
      <c r="Z44" s="68"/>
      <c r="AA44" s="70">
        <v>1990</v>
      </c>
      <c r="AB44" s="70">
        <f t="shared" si="6"/>
        <v>31</v>
      </c>
      <c r="AC44" s="70">
        <v>1</v>
      </c>
      <c r="AD44" s="70">
        <v>2</v>
      </c>
      <c r="AE44" s="70" t="s">
        <v>5</v>
      </c>
    </row>
    <row r="45" spans="1:31" ht="30" x14ac:dyDescent="0.25">
      <c r="A45" s="4" t="s">
        <v>217</v>
      </c>
      <c r="B45" s="5"/>
      <c r="C45" s="5"/>
      <c r="D45" s="5"/>
      <c r="E45" s="5"/>
      <c r="F45" s="5">
        <v>5664000</v>
      </c>
      <c r="G45" s="5">
        <v>6284000</v>
      </c>
      <c r="H45" s="5">
        <v>5765000</v>
      </c>
      <c r="I45" s="5">
        <v>6241000</v>
      </c>
      <c r="J45" s="5">
        <v>4313000</v>
      </c>
      <c r="K45" s="5">
        <v>4095000</v>
      </c>
      <c r="L45" s="5">
        <v>3957000</v>
      </c>
      <c r="M45" s="5">
        <v>4649000</v>
      </c>
      <c r="N45" s="5"/>
      <c r="O45" s="60">
        <f t="shared" si="2"/>
        <v>0.10946327683615809</v>
      </c>
      <c r="P45" s="60">
        <f t="shared" si="2"/>
        <v>-8.2590706556333493E-2</v>
      </c>
      <c r="Q45" s="60">
        <f t="shared" si="2"/>
        <v>8.2567215958369466E-2</v>
      </c>
      <c r="R45" s="60">
        <f t="shared" si="3"/>
        <v>3.6479928746064684E-2</v>
      </c>
      <c r="S45" s="64"/>
      <c r="T45" s="60">
        <f t="shared" si="4"/>
        <v>-5.05448643635521E-2</v>
      </c>
      <c r="U45" s="60">
        <f t="shared" si="4"/>
        <v>-3.3699633699633691E-2</v>
      </c>
      <c r="V45" s="60">
        <f t="shared" si="4"/>
        <v>0.1748799595653272</v>
      </c>
      <c r="W45" s="60">
        <f t="shared" si="5"/>
        <v>3.0211820500713804E-2</v>
      </c>
      <c r="X45" s="5"/>
      <c r="Y45" s="5"/>
      <c r="Z45" s="5"/>
      <c r="AA45" s="39">
        <v>1966</v>
      </c>
      <c r="AB45" s="39">
        <f t="shared" ref="AB45:AB67" si="7">2021-AA45</f>
        <v>55</v>
      </c>
      <c r="AC45" s="39">
        <v>1</v>
      </c>
      <c r="AD45" s="39">
        <v>1</v>
      </c>
      <c r="AE45" s="39" t="s">
        <v>17</v>
      </c>
    </row>
    <row r="46" spans="1:31" s="71" customFormat="1" ht="30" x14ac:dyDescent="0.25">
      <c r="A46" s="67" t="s">
        <v>222</v>
      </c>
      <c r="B46" s="68"/>
      <c r="C46" s="68"/>
      <c r="D46" s="68"/>
      <c r="E46" s="68"/>
      <c r="F46" s="68">
        <f>8542680</f>
        <v>8542680</v>
      </c>
      <c r="G46" s="68">
        <v>8096927</v>
      </c>
      <c r="H46" s="68">
        <v>8963517</v>
      </c>
      <c r="I46" s="68">
        <v>9317459</v>
      </c>
      <c r="J46" s="68">
        <v>7597199</v>
      </c>
      <c r="K46" s="68">
        <v>7235350</v>
      </c>
      <c r="L46" s="68">
        <v>7245942</v>
      </c>
      <c r="M46" s="68">
        <v>7391653</v>
      </c>
      <c r="N46" s="68"/>
      <c r="O46" s="69">
        <f t="shared" si="2"/>
        <v>-5.21795267995524E-2</v>
      </c>
      <c r="P46" s="69">
        <f t="shared" si="2"/>
        <v>0.10702702395612551</v>
      </c>
      <c r="Q46" s="69">
        <f t="shared" si="2"/>
        <v>3.9486955845568161E-2</v>
      </c>
      <c r="R46" s="69">
        <f t="shared" si="3"/>
        <v>3.1444817667380422E-2</v>
      </c>
      <c r="S46" s="68"/>
      <c r="T46" s="69">
        <f t="shared" si="4"/>
        <v>-4.7629264417056838E-2</v>
      </c>
      <c r="U46" s="69">
        <f t="shared" si="4"/>
        <v>1.4639236526221566E-3</v>
      </c>
      <c r="V46" s="69">
        <f t="shared" si="4"/>
        <v>2.0109324639915771E-2</v>
      </c>
      <c r="W46" s="78">
        <f t="shared" si="5"/>
        <v>-8.6853387081729707E-3</v>
      </c>
      <c r="X46" s="68"/>
      <c r="Y46" s="68"/>
      <c r="Z46" s="68"/>
      <c r="AA46" s="70">
        <v>1989</v>
      </c>
      <c r="AB46" s="70">
        <f t="shared" si="7"/>
        <v>32</v>
      </c>
      <c r="AC46" s="70">
        <v>3</v>
      </c>
      <c r="AD46" s="70">
        <v>1</v>
      </c>
      <c r="AE46" s="70" t="s">
        <v>223</v>
      </c>
    </row>
    <row r="47" spans="1:31" s="40" customFormat="1" x14ac:dyDescent="0.25">
      <c r="A47" s="63" t="s">
        <v>225</v>
      </c>
      <c r="B47" s="64"/>
      <c r="C47" s="64"/>
      <c r="D47" s="64"/>
      <c r="E47" s="64"/>
      <c r="F47" s="64">
        <v>7508000</v>
      </c>
      <c r="G47" s="64">
        <v>7055000</v>
      </c>
      <c r="H47" s="64">
        <v>5099000</v>
      </c>
      <c r="I47" s="64">
        <v>3046000</v>
      </c>
      <c r="J47" s="64">
        <v>150000</v>
      </c>
      <c r="K47" s="64">
        <v>139000</v>
      </c>
      <c r="L47" s="64">
        <v>125000</v>
      </c>
      <c r="M47" s="64">
        <v>56000</v>
      </c>
      <c r="N47" s="64"/>
      <c r="O47" s="65">
        <f t="shared" si="2"/>
        <v>-6.0335641981886012E-2</v>
      </c>
      <c r="P47" s="65">
        <f t="shared" si="2"/>
        <v>-0.27725017717930545</v>
      </c>
      <c r="Q47" s="65">
        <f t="shared" si="2"/>
        <v>-0.40262796626789565</v>
      </c>
      <c r="R47" s="78">
        <f t="shared" si="3"/>
        <v>-0.24673792847636236</v>
      </c>
      <c r="S47" s="64"/>
      <c r="T47" s="65">
        <f t="shared" si="4"/>
        <v>-7.3333333333333361E-2</v>
      </c>
      <c r="U47" s="65">
        <f t="shared" si="4"/>
        <v>-0.10071942446043169</v>
      </c>
      <c r="V47" s="65">
        <f t="shared" si="4"/>
        <v>-0.55200000000000005</v>
      </c>
      <c r="W47" s="78">
        <f t="shared" si="5"/>
        <v>-0.24201758593125502</v>
      </c>
      <c r="X47" s="64"/>
      <c r="Y47" s="64"/>
      <c r="Z47" s="64"/>
      <c r="AA47" s="39">
        <v>2008</v>
      </c>
      <c r="AB47" s="39">
        <f t="shared" si="7"/>
        <v>13</v>
      </c>
      <c r="AC47" s="39">
        <v>5</v>
      </c>
      <c r="AD47" s="39">
        <v>1</v>
      </c>
      <c r="AE47" s="39" t="s">
        <v>5</v>
      </c>
    </row>
    <row r="48" spans="1:31" s="71" customFormat="1" ht="45" x14ac:dyDescent="0.25">
      <c r="A48" s="67" t="s">
        <v>227</v>
      </c>
      <c r="B48" s="68"/>
      <c r="C48" s="68"/>
      <c r="D48" s="68"/>
      <c r="E48" s="68"/>
      <c r="F48" s="68">
        <v>5547681</v>
      </c>
      <c r="G48" s="68">
        <v>8240220</v>
      </c>
      <c r="H48" s="68">
        <v>5572782</v>
      </c>
      <c r="I48" s="68">
        <v>6539467</v>
      </c>
      <c r="J48" s="68">
        <v>2690277</v>
      </c>
      <c r="K48" s="68">
        <v>2738598</v>
      </c>
      <c r="L48" s="68">
        <v>2607428</v>
      </c>
      <c r="M48" s="68">
        <v>30255</v>
      </c>
      <c r="N48" s="68"/>
      <c r="O48" s="69">
        <f t="shared" si="2"/>
        <v>0.48534495764987207</v>
      </c>
      <c r="P48" s="69">
        <f t="shared" si="2"/>
        <v>-0.3237095611524935</v>
      </c>
      <c r="Q48" s="69">
        <f t="shared" si="2"/>
        <v>0.17346542534769882</v>
      </c>
      <c r="R48" s="69">
        <f t="shared" si="3"/>
        <v>0.11170027394835913</v>
      </c>
      <c r="S48" s="68"/>
      <c r="T48" s="69">
        <f t="shared" si="4"/>
        <v>1.7961347474628075E-2</v>
      </c>
      <c r="U48" s="69">
        <f t="shared" si="4"/>
        <v>-4.7896770537333322E-2</v>
      </c>
      <c r="V48" s="69">
        <f t="shared" si="4"/>
        <v>-0.98839661152676128</v>
      </c>
      <c r="W48" s="78">
        <f t="shared" si="5"/>
        <v>-0.33944401152982212</v>
      </c>
      <c r="X48" s="68"/>
      <c r="Y48" s="68"/>
      <c r="Z48" s="68"/>
      <c r="AA48" s="70">
        <v>1987</v>
      </c>
      <c r="AB48" s="70">
        <f t="shared" si="7"/>
        <v>34</v>
      </c>
      <c r="AC48" s="70">
        <v>1</v>
      </c>
      <c r="AD48" s="70">
        <v>1</v>
      </c>
      <c r="AE48" s="70" t="s">
        <v>5</v>
      </c>
    </row>
    <row r="49" spans="1:31" s="71" customFormat="1" x14ac:dyDescent="0.25">
      <c r="A49" s="67" t="s">
        <v>233</v>
      </c>
      <c r="B49" s="68"/>
      <c r="C49" s="68"/>
      <c r="D49" s="68"/>
      <c r="E49" s="68"/>
      <c r="F49" s="68">
        <v>6341772.8399999999</v>
      </c>
      <c r="G49" s="68">
        <v>5539437.21</v>
      </c>
      <c r="H49" s="68">
        <v>14791401.27</v>
      </c>
      <c r="I49" s="68">
        <v>13494962.52</v>
      </c>
      <c r="J49" s="68">
        <v>4428141.42</v>
      </c>
      <c r="K49" s="68">
        <v>4299575.01</v>
      </c>
      <c r="L49" s="68">
        <v>4055152.47</v>
      </c>
      <c r="M49" s="68">
        <v>3808739.89</v>
      </c>
      <c r="N49" s="68"/>
      <c r="O49" s="69">
        <f t="shared" si="2"/>
        <v>-0.12651598381754714</v>
      </c>
      <c r="P49" s="69">
        <f t="shared" si="2"/>
        <v>1.6701992836561099</v>
      </c>
      <c r="Q49" s="69">
        <f t="shared" si="2"/>
        <v>-8.7648135990296194E-2</v>
      </c>
      <c r="R49" s="69">
        <f t="shared" si="3"/>
        <v>0.48534505461608884</v>
      </c>
      <c r="S49" s="68"/>
      <c r="T49" s="69">
        <f t="shared" si="4"/>
        <v>-2.9033943997208711E-2</v>
      </c>
      <c r="U49" s="69">
        <f t="shared" si="4"/>
        <v>-5.6848069735152662E-2</v>
      </c>
      <c r="V49" s="69">
        <f t="shared" si="4"/>
        <v>-6.0765305823383797E-2</v>
      </c>
      <c r="W49" s="78">
        <f t="shared" si="5"/>
        <v>-4.8882439851915059E-2</v>
      </c>
      <c r="X49" s="68"/>
      <c r="Y49" s="68"/>
      <c r="Z49" s="68"/>
      <c r="AA49" s="70">
        <v>1994</v>
      </c>
      <c r="AB49" s="70">
        <f t="shared" si="7"/>
        <v>27</v>
      </c>
      <c r="AC49" s="70">
        <v>1</v>
      </c>
      <c r="AD49" s="70">
        <v>1</v>
      </c>
      <c r="AE49" s="70" t="s">
        <v>5</v>
      </c>
    </row>
    <row r="50" spans="1:31" x14ac:dyDescent="0.25">
      <c r="A50" s="4" t="s">
        <v>237</v>
      </c>
      <c r="B50" s="5"/>
      <c r="C50" s="5"/>
      <c r="D50" s="5"/>
      <c r="E50" s="5"/>
      <c r="F50" s="5">
        <v>5220855</v>
      </c>
      <c r="G50" s="5">
        <v>5515419</v>
      </c>
      <c r="H50" s="5">
        <v>6566937</v>
      </c>
      <c r="I50" s="5">
        <v>8501527</v>
      </c>
      <c r="J50" s="5">
        <f>4323779+22649+1125</f>
        <v>4347553</v>
      </c>
      <c r="K50" s="5">
        <f>3975871+22313+1125</f>
        <v>3999309</v>
      </c>
      <c r="L50" s="5">
        <f>4490402+31888+2849</f>
        <v>4525139</v>
      </c>
      <c r="M50" s="5">
        <f>4476057+22287+2849</f>
        <v>4501193</v>
      </c>
      <c r="N50" s="5"/>
      <c r="O50" s="60">
        <f t="shared" si="2"/>
        <v>5.6420643745133781E-2</v>
      </c>
      <c r="P50" s="60">
        <f t="shared" si="2"/>
        <v>0.19065061058824351</v>
      </c>
      <c r="Q50" s="60">
        <f t="shared" si="2"/>
        <v>0.29459548644977107</v>
      </c>
      <c r="R50" s="60">
        <f t="shared" si="3"/>
        <v>0.18055558026104945</v>
      </c>
      <c r="S50" s="64"/>
      <c r="T50" s="60">
        <f t="shared" si="4"/>
        <v>-8.0101151153303962E-2</v>
      </c>
      <c r="U50" s="60">
        <f t="shared" si="4"/>
        <v>0.13148021320683156</v>
      </c>
      <c r="V50" s="60">
        <f t="shared" si="4"/>
        <v>-5.2917711478034368E-3</v>
      </c>
      <c r="W50" s="60">
        <f t="shared" si="5"/>
        <v>1.5362430301908056E-2</v>
      </c>
      <c r="X50" s="5"/>
      <c r="Y50" s="5"/>
      <c r="Z50" s="5"/>
      <c r="AA50" s="39">
        <v>1995</v>
      </c>
      <c r="AB50" s="39">
        <f t="shared" si="7"/>
        <v>26</v>
      </c>
      <c r="AC50" s="39">
        <v>3</v>
      </c>
      <c r="AD50" s="39">
        <v>1</v>
      </c>
      <c r="AE50" s="39" t="s">
        <v>239</v>
      </c>
    </row>
    <row r="51" spans="1:31" x14ac:dyDescent="0.25">
      <c r="A51" s="4" t="s">
        <v>244</v>
      </c>
      <c r="B51" s="5"/>
      <c r="C51" s="5"/>
      <c r="D51" s="5"/>
      <c r="E51" s="5"/>
      <c r="F51" s="5">
        <v>8494070.8900000006</v>
      </c>
      <c r="G51" s="5">
        <v>8669950.9199999999</v>
      </c>
      <c r="H51" s="5">
        <v>9641486.6699999999</v>
      </c>
      <c r="I51" s="5">
        <v>15441235.380000001</v>
      </c>
      <c r="J51" s="5">
        <v>4663725.99</v>
      </c>
      <c r="K51" s="5">
        <v>4851828.62</v>
      </c>
      <c r="L51" s="5">
        <v>4597107.42</v>
      </c>
      <c r="M51" s="5">
        <v>7288334.29</v>
      </c>
      <c r="N51" s="5"/>
      <c r="O51" s="60">
        <f t="shared" si="2"/>
        <v>2.0706211694920151E-2</v>
      </c>
      <c r="P51" s="60">
        <f t="shared" si="2"/>
        <v>0.11205781427883799</v>
      </c>
      <c r="Q51" s="60">
        <f t="shared" si="2"/>
        <v>0.60154091464402781</v>
      </c>
      <c r="R51" s="60">
        <f t="shared" si="3"/>
        <v>0.24476831353926198</v>
      </c>
      <c r="S51" s="64"/>
      <c r="T51" s="60">
        <f t="shared" si="4"/>
        <v>4.0333122143824784E-2</v>
      </c>
      <c r="U51" s="60">
        <f t="shared" si="4"/>
        <v>-5.2500040695996453E-2</v>
      </c>
      <c r="V51" s="60">
        <f t="shared" si="4"/>
        <v>0.58541744277970342</v>
      </c>
      <c r="W51" s="60">
        <f t="shared" si="5"/>
        <v>0.19108350807584393</v>
      </c>
      <c r="X51" s="5"/>
      <c r="Y51" s="5"/>
      <c r="Z51" s="5"/>
      <c r="AA51" s="39">
        <v>1949</v>
      </c>
      <c r="AB51" s="39">
        <f t="shared" si="7"/>
        <v>72</v>
      </c>
      <c r="AC51" s="39">
        <v>1</v>
      </c>
      <c r="AD51" s="39">
        <v>1</v>
      </c>
      <c r="AE51" s="39" t="s">
        <v>245</v>
      </c>
    </row>
    <row r="52" spans="1:31" x14ac:dyDescent="0.25">
      <c r="A52" s="4" t="s">
        <v>248</v>
      </c>
      <c r="B52" s="5"/>
      <c r="C52" s="5"/>
      <c r="D52" s="5"/>
      <c r="E52" s="5"/>
      <c r="F52" s="5">
        <v>2915463</v>
      </c>
      <c r="G52" s="5">
        <v>4202238</v>
      </c>
      <c r="H52" s="5">
        <v>6245789</v>
      </c>
      <c r="I52" s="5">
        <v>9145461</v>
      </c>
      <c r="J52" s="5">
        <v>15129</v>
      </c>
      <c r="K52" s="5">
        <v>32386</v>
      </c>
      <c r="L52" s="5">
        <v>19244</v>
      </c>
      <c r="M52" s="5">
        <v>30656</v>
      </c>
      <c r="N52" s="5"/>
      <c r="O52" s="60">
        <f t="shared" si="2"/>
        <v>0.441362143851594</v>
      </c>
      <c r="P52" s="60">
        <f t="shared" si="2"/>
        <v>0.48630063313881799</v>
      </c>
      <c r="Q52" s="60">
        <f t="shared" si="2"/>
        <v>0.46426032003322559</v>
      </c>
      <c r="R52" s="60">
        <f t="shared" si="3"/>
        <v>0.46397436567454586</v>
      </c>
      <c r="S52" s="64"/>
      <c r="T52" s="60">
        <f t="shared" si="4"/>
        <v>1.1406570163262608</v>
      </c>
      <c r="U52" s="60">
        <f t="shared" si="4"/>
        <v>-0.40579262644352498</v>
      </c>
      <c r="V52" s="60">
        <f t="shared" si="4"/>
        <v>0.59301600498856777</v>
      </c>
      <c r="W52" s="60">
        <f t="shared" si="5"/>
        <v>0.44262679829043455</v>
      </c>
      <c r="X52" s="5"/>
      <c r="Y52" s="5"/>
      <c r="Z52" s="5"/>
      <c r="AA52" s="39">
        <v>2001</v>
      </c>
      <c r="AB52" s="39">
        <f t="shared" si="7"/>
        <v>20</v>
      </c>
      <c r="AC52" s="39">
        <v>2</v>
      </c>
      <c r="AD52" s="39">
        <v>1</v>
      </c>
      <c r="AE52" s="39" t="s">
        <v>5</v>
      </c>
    </row>
    <row r="53" spans="1:31" s="71" customFormat="1" x14ac:dyDescent="0.25">
      <c r="A53" s="67" t="s">
        <v>251</v>
      </c>
      <c r="B53" s="68"/>
      <c r="C53" s="68"/>
      <c r="D53" s="68"/>
      <c r="E53" s="68"/>
      <c r="F53" s="68">
        <v>5985908</v>
      </c>
      <c r="G53" s="68">
        <v>4700260</v>
      </c>
      <c r="H53" s="68">
        <v>5772559.3700000001</v>
      </c>
      <c r="I53" s="68">
        <v>8359087.5599999996</v>
      </c>
      <c r="J53" s="68">
        <v>3253908</v>
      </c>
      <c r="K53" s="68">
        <v>3992968</v>
      </c>
      <c r="L53" s="68">
        <f>721643.3+3932023.89-1011472.84+291.7</f>
        <v>3642486.0500000007</v>
      </c>
      <c r="M53" s="68">
        <f>761103.95+1932946.33-1243626.21+6274.25</f>
        <v>1456698.3200000003</v>
      </c>
      <c r="N53" s="68"/>
      <c r="O53" s="69">
        <f t="shared" si="2"/>
        <v>-0.21477911120585214</v>
      </c>
      <c r="P53" s="69">
        <f t="shared" si="2"/>
        <v>0.22813618182823925</v>
      </c>
      <c r="Q53" s="69">
        <f t="shared" si="2"/>
        <v>0.44807303385084096</v>
      </c>
      <c r="R53" s="69">
        <f t="shared" si="3"/>
        <v>0.15381003482440936</v>
      </c>
      <c r="S53" s="68"/>
      <c r="T53" s="69">
        <f t="shared" si="4"/>
        <v>0.22712996187968426</v>
      </c>
      <c r="U53" s="69">
        <f t="shared" si="4"/>
        <v>-8.7774795590648158E-2</v>
      </c>
      <c r="V53" s="69">
        <f t="shared" si="4"/>
        <v>-0.60008129063390647</v>
      </c>
      <c r="W53" s="78">
        <f t="shared" si="5"/>
        <v>-0.15357537478162345</v>
      </c>
      <c r="X53" s="68"/>
      <c r="Y53" s="68"/>
      <c r="Z53" s="68"/>
      <c r="AA53" s="70">
        <v>1988</v>
      </c>
      <c r="AB53" s="70">
        <f t="shared" si="7"/>
        <v>33</v>
      </c>
      <c r="AC53" s="70">
        <v>4</v>
      </c>
      <c r="AD53" s="70">
        <v>1</v>
      </c>
      <c r="AE53" s="70" t="s">
        <v>253</v>
      </c>
    </row>
    <row r="54" spans="1:31" x14ac:dyDescent="0.25">
      <c r="A54" s="4" t="s">
        <v>255</v>
      </c>
      <c r="B54" s="5"/>
      <c r="C54" s="5"/>
      <c r="D54" s="5"/>
      <c r="E54" s="5"/>
      <c r="F54" s="5">
        <v>18411571.010000002</v>
      </c>
      <c r="G54" s="5">
        <v>22593773.629999999</v>
      </c>
      <c r="H54" s="5">
        <v>23323582.41</v>
      </c>
      <c r="I54" s="5">
        <v>32594391.41</v>
      </c>
      <c r="J54" s="5">
        <f>15446041.13+3776.06</f>
        <v>15449817.190000001</v>
      </c>
      <c r="K54" s="5">
        <f>11750000.4+4088617.37+2399.41</f>
        <v>15841017.18</v>
      </c>
      <c r="L54" s="5">
        <f>15724719.38+3804012.6+1800</f>
        <v>19530531.98</v>
      </c>
      <c r="M54" s="5">
        <f>24906878.97+3535077.18+0</f>
        <v>28441956.149999999</v>
      </c>
      <c r="N54" s="5"/>
      <c r="O54" s="60">
        <f t="shared" si="2"/>
        <v>0.22715077478877221</v>
      </c>
      <c r="P54" s="60">
        <f t="shared" si="2"/>
        <v>3.2301323008342431E-2</v>
      </c>
      <c r="Q54" s="60">
        <f t="shared" si="2"/>
        <v>0.39748649401410718</v>
      </c>
      <c r="R54" s="60">
        <f t="shared" si="3"/>
        <v>0.21897953060374062</v>
      </c>
      <c r="S54" s="64"/>
      <c r="T54" s="60">
        <f t="shared" si="4"/>
        <v>2.5320687305815159E-2</v>
      </c>
      <c r="U54" s="60">
        <f t="shared" si="4"/>
        <v>0.23290895768096131</v>
      </c>
      <c r="V54" s="60">
        <f t="shared" si="4"/>
        <v>0.45628169161626686</v>
      </c>
      <c r="W54" s="60">
        <f t="shared" si="5"/>
        <v>0.23817044553434777</v>
      </c>
      <c r="X54" s="5"/>
      <c r="Y54" s="5"/>
      <c r="Z54" s="5"/>
      <c r="AA54" s="39">
        <v>1942</v>
      </c>
      <c r="AB54" s="39">
        <f t="shared" si="7"/>
        <v>79</v>
      </c>
      <c r="AC54" s="39">
        <v>1</v>
      </c>
      <c r="AD54" s="39">
        <v>1</v>
      </c>
      <c r="AE54" s="39" t="s">
        <v>5</v>
      </c>
    </row>
    <row r="55" spans="1:31" ht="30" x14ac:dyDescent="0.25">
      <c r="A55" s="4" t="s">
        <v>258</v>
      </c>
      <c r="B55" s="5"/>
      <c r="C55" s="5"/>
      <c r="D55" s="5"/>
      <c r="E55" s="5"/>
      <c r="F55" s="5">
        <v>27969087</v>
      </c>
      <c r="G55" s="5">
        <v>30387820</v>
      </c>
      <c r="H55" s="5">
        <v>30492956</v>
      </c>
      <c r="I55" s="5">
        <v>33246002</v>
      </c>
      <c r="J55" s="5">
        <f>27969087-18000356</f>
        <v>9968731</v>
      </c>
      <c r="K55" s="5">
        <v>10211098</v>
      </c>
      <c r="L55" s="5">
        <v>11927242</v>
      </c>
      <c r="M55" s="5">
        <v>11374757</v>
      </c>
      <c r="N55" s="5"/>
      <c r="O55" s="60">
        <f t="shared" si="2"/>
        <v>8.647879710910833E-2</v>
      </c>
      <c r="P55" s="60">
        <f t="shared" si="2"/>
        <v>3.4598072517213474E-3</v>
      </c>
      <c r="Q55" s="60">
        <f t="shared" si="2"/>
        <v>9.0284654593670854E-2</v>
      </c>
      <c r="R55" s="60">
        <f t="shared" si="3"/>
        <v>6.0074419651500177E-2</v>
      </c>
      <c r="S55" s="64"/>
      <c r="T55" s="60">
        <f t="shared" si="4"/>
        <v>2.4312723454971374E-2</v>
      </c>
      <c r="U55" s="60">
        <f t="shared" si="4"/>
        <v>0.16806654876880045</v>
      </c>
      <c r="V55" s="60">
        <f t="shared" si="4"/>
        <v>-4.6321270248394386E-2</v>
      </c>
      <c r="W55" s="60">
        <f t="shared" si="5"/>
        <v>4.8686000658459148E-2</v>
      </c>
      <c r="X55" s="5"/>
      <c r="Y55" s="5"/>
      <c r="Z55" s="5"/>
      <c r="AA55" s="39">
        <v>1998</v>
      </c>
      <c r="AB55" s="39">
        <f t="shared" si="7"/>
        <v>23</v>
      </c>
      <c r="AC55" s="39">
        <v>3</v>
      </c>
      <c r="AD55" s="39">
        <v>1</v>
      </c>
      <c r="AE55" s="39" t="s">
        <v>5</v>
      </c>
    </row>
    <row r="56" spans="1:31" s="40" customFormat="1" ht="30" x14ac:dyDescent="0.25">
      <c r="A56" s="63" t="s">
        <v>261</v>
      </c>
      <c r="B56" s="64"/>
      <c r="C56" s="64"/>
      <c r="D56" s="64"/>
      <c r="E56" s="64"/>
      <c r="F56" s="64">
        <v>20828285</v>
      </c>
      <c r="G56" s="64">
        <v>17975368</v>
      </c>
      <c r="H56" s="64">
        <v>17628349</v>
      </c>
      <c r="I56" s="64">
        <v>13838990</v>
      </c>
      <c r="J56" s="64">
        <v>11600530</v>
      </c>
      <c r="K56" s="64">
        <v>11384435</v>
      </c>
      <c r="L56" s="64">
        <v>11233116</v>
      </c>
      <c r="M56" s="64">
        <v>7684933</v>
      </c>
      <c r="N56" s="64"/>
      <c r="O56" s="65">
        <f t="shared" si="2"/>
        <v>-0.13697320734760443</v>
      </c>
      <c r="P56" s="65">
        <f t="shared" si="2"/>
        <v>-1.9305251497493736E-2</v>
      </c>
      <c r="Q56" s="65">
        <f t="shared" si="2"/>
        <v>-0.21495824708258271</v>
      </c>
      <c r="R56" s="65">
        <f t="shared" si="3"/>
        <v>-0.1237455686425603</v>
      </c>
      <c r="S56" s="64"/>
      <c r="T56" s="65">
        <f t="shared" si="4"/>
        <v>-1.8628028202159697E-2</v>
      </c>
      <c r="U56" s="65">
        <f t="shared" si="4"/>
        <v>-1.3291744386085047E-2</v>
      </c>
      <c r="V56" s="65">
        <f t="shared" si="4"/>
        <v>-0.31586809928785564</v>
      </c>
      <c r="W56" s="78">
        <f t="shared" si="5"/>
        <v>-0.11592929062536679</v>
      </c>
      <c r="X56" s="64"/>
      <c r="Y56" s="64"/>
      <c r="Z56" s="64"/>
      <c r="AA56" s="39">
        <v>1964</v>
      </c>
      <c r="AB56" s="39">
        <f t="shared" si="7"/>
        <v>57</v>
      </c>
      <c r="AC56" s="39">
        <v>3</v>
      </c>
      <c r="AD56" s="39">
        <v>1</v>
      </c>
      <c r="AE56" s="39" t="s">
        <v>17</v>
      </c>
    </row>
    <row r="57" spans="1:31" x14ac:dyDescent="0.25">
      <c r="A57" s="4" t="s">
        <v>264</v>
      </c>
      <c r="B57" s="5"/>
      <c r="C57" s="5"/>
      <c r="D57" s="5"/>
      <c r="E57" s="5"/>
      <c r="F57" s="5">
        <v>4078634</v>
      </c>
      <c r="G57" s="5">
        <v>4142525</v>
      </c>
      <c r="H57" s="5">
        <v>5627256</v>
      </c>
      <c r="I57" s="5">
        <v>12684419</v>
      </c>
      <c r="J57" s="5">
        <v>472855</v>
      </c>
      <c r="K57" s="5">
        <v>395374</v>
      </c>
      <c r="L57" s="5">
        <v>327983</v>
      </c>
      <c r="M57" s="5">
        <v>832882</v>
      </c>
      <c r="N57" s="5"/>
      <c r="O57" s="60">
        <f t="shared" si="2"/>
        <v>1.5664803461158838E-2</v>
      </c>
      <c r="P57" s="60">
        <f t="shared" si="2"/>
        <v>0.35841207958913945</v>
      </c>
      <c r="Q57" s="60">
        <f t="shared" si="2"/>
        <v>1.2541037763343272</v>
      </c>
      <c r="R57" s="60">
        <f t="shared" si="3"/>
        <v>0.54272688646154188</v>
      </c>
      <c r="S57" s="64"/>
      <c r="T57" s="60">
        <f t="shared" si="4"/>
        <v>-0.16385784225608269</v>
      </c>
      <c r="U57" s="60">
        <f t="shared" si="4"/>
        <v>-0.17044873967433372</v>
      </c>
      <c r="V57" s="60">
        <f t="shared" si="4"/>
        <v>1.5394060057990813</v>
      </c>
      <c r="W57" s="60">
        <f t="shared" si="5"/>
        <v>0.40169980795622157</v>
      </c>
      <c r="X57" s="5"/>
      <c r="Y57" s="5"/>
      <c r="Z57" s="5"/>
      <c r="AA57" s="39">
        <v>2000</v>
      </c>
      <c r="AB57" s="39">
        <f t="shared" si="7"/>
        <v>21</v>
      </c>
      <c r="AC57" s="39">
        <v>2</v>
      </c>
      <c r="AD57" s="39">
        <v>1</v>
      </c>
      <c r="AE57" s="39" t="s">
        <v>35</v>
      </c>
    </row>
    <row r="58" spans="1:31" s="71" customFormat="1" ht="30" x14ac:dyDescent="0.25">
      <c r="A58" s="67" t="s">
        <v>270</v>
      </c>
      <c r="B58" s="68"/>
      <c r="C58" s="68"/>
      <c r="D58" s="68"/>
      <c r="E58" s="68"/>
      <c r="F58" s="68">
        <v>604502</v>
      </c>
      <c r="G58" s="68">
        <v>699374</v>
      </c>
      <c r="H58" s="68">
        <v>738882</v>
      </c>
      <c r="I58" s="68">
        <v>1693789</v>
      </c>
      <c r="J58" s="68">
        <v>208612</v>
      </c>
      <c r="K58" s="68">
        <v>197810</v>
      </c>
      <c r="L58" s="68">
        <f>207417+1579</f>
        <v>208996</v>
      </c>
      <c r="M58" s="68">
        <f>105887+1579</f>
        <v>107466</v>
      </c>
      <c r="N58" s="68"/>
      <c r="O58" s="69">
        <f t="shared" si="2"/>
        <v>0.15694240879269206</v>
      </c>
      <c r="P58" s="69">
        <f t="shared" si="2"/>
        <v>5.6490518663833589E-2</v>
      </c>
      <c r="Q58" s="69">
        <f t="shared" si="2"/>
        <v>1.2923673874854171</v>
      </c>
      <c r="R58" s="69">
        <f t="shared" si="3"/>
        <v>0.50193343831398096</v>
      </c>
      <c r="S58" s="68"/>
      <c r="T58" s="69">
        <f t="shared" si="4"/>
        <v>-5.1780338619063171E-2</v>
      </c>
      <c r="U58" s="69">
        <f t="shared" si="4"/>
        <v>5.6549213892118644E-2</v>
      </c>
      <c r="V58" s="69">
        <f t="shared" si="4"/>
        <v>-0.48579877126834958</v>
      </c>
      <c r="W58" s="78">
        <f t="shared" si="5"/>
        <v>-0.16034329866509803</v>
      </c>
      <c r="X58" s="68"/>
      <c r="Y58" s="68"/>
      <c r="Z58" s="68"/>
      <c r="AA58" s="70">
        <v>1999</v>
      </c>
      <c r="AB58" s="70">
        <f t="shared" si="7"/>
        <v>22</v>
      </c>
      <c r="AC58" s="70">
        <v>3</v>
      </c>
      <c r="AD58" s="70">
        <v>1</v>
      </c>
      <c r="AE58" s="70" t="s">
        <v>5</v>
      </c>
    </row>
    <row r="59" spans="1:31" s="71" customFormat="1" ht="72.599999999999994" customHeight="1" x14ac:dyDescent="0.25">
      <c r="A59" s="67" t="s">
        <v>274</v>
      </c>
      <c r="B59" s="68"/>
      <c r="C59" s="68"/>
      <c r="D59" s="68"/>
      <c r="E59" s="68"/>
      <c r="F59" s="68">
        <v>1786997</v>
      </c>
      <c r="G59" s="68">
        <v>2500456</v>
      </c>
      <c r="H59" s="68">
        <v>3932460</v>
      </c>
      <c r="I59" s="68">
        <v>7484776</v>
      </c>
      <c r="J59" s="68">
        <f>119472+350</f>
        <v>119822</v>
      </c>
      <c r="K59" s="68">
        <f>98619+350</f>
        <v>98969</v>
      </c>
      <c r="L59" s="68">
        <f>102091+350</f>
        <v>102441</v>
      </c>
      <c r="M59" s="68">
        <v>107496</v>
      </c>
      <c r="N59" s="68"/>
      <c r="O59" s="69">
        <f t="shared" si="2"/>
        <v>0.39925025056001773</v>
      </c>
      <c r="P59" s="69">
        <f t="shared" si="2"/>
        <v>0.57269714004165651</v>
      </c>
      <c r="Q59" s="69">
        <f t="shared" si="2"/>
        <v>0.90333175671208354</v>
      </c>
      <c r="R59" s="69">
        <f t="shared" si="3"/>
        <v>0.62509304910458596</v>
      </c>
      <c r="S59" s="68"/>
      <c r="T59" s="69">
        <f t="shared" si="4"/>
        <v>-0.17403314917127077</v>
      </c>
      <c r="U59" s="69">
        <f t="shared" si="4"/>
        <v>3.5081692247067364E-2</v>
      </c>
      <c r="V59" s="69">
        <f t="shared" si="4"/>
        <v>4.9345476908659647E-2</v>
      </c>
      <c r="W59" s="78">
        <f t="shared" si="5"/>
        <v>-2.9868660005181253E-2</v>
      </c>
      <c r="X59" s="68"/>
      <c r="Y59" s="68"/>
      <c r="Z59" s="68"/>
      <c r="AA59" s="70">
        <v>1992</v>
      </c>
      <c r="AB59" s="70">
        <f t="shared" si="7"/>
        <v>29</v>
      </c>
      <c r="AC59" s="70">
        <v>6</v>
      </c>
      <c r="AD59" s="70">
        <v>1</v>
      </c>
      <c r="AE59" s="70" t="s">
        <v>273</v>
      </c>
    </row>
    <row r="60" spans="1:31" ht="30" x14ac:dyDescent="0.25">
      <c r="A60" s="4" t="s">
        <v>281</v>
      </c>
      <c r="B60" s="5"/>
      <c r="C60" s="5"/>
      <c r="D60" s="5"/>
      <c r="E60" s="5"/>
      <c r="F60" s="5">
        <f>19707596.21+15434496.2+400786.76+887215.97</f>
        <v>36430095.139999993</v>
      </c>
      <c r="G60" s="5">
        <f>21590232.1+17027041.12+746379.25+899621.74</f>
        <v>40263274.210000001</v>
      </c>
      <c r="H60" s="5">
        <f>23641045.22+18810384.02+1603259.61+907674.69</f>
        <v>44962363.539999992</v>
      </c>
      <c r="I60" s="5">
        <f>31465719.35+20923943.05+1576606.81+873424.97</f>
        <v>54839694.180000007</v>
      </c>
      <c r="J60" s="5">
        <f>7029590.28+10396849.2+358165.98+0</f>
        <v>17784605.460000001</v>
      </c>
      <c r="K60" s="5">
        <f>7271720.46+10905738.34+371397.98+0</f>
        <v>18548856.780000001</v>
      </c>
      <c r="L60" s="5">
        <f>7202348.75+10768820.54+447855.76+0</f>
        <v>18419025.050000001</v>
      </c>
      <c r="M60" s="5">
        <f>8097745.54+10915364.67+438935.71+0</f>
        <v>19452045.920000002</v>
      </c>
      <c r="N60" s="5"/>
      <c r="O60" s="60">
        <f t="shared" si="2"/>
        <v>0.10522012240893663</v>
      </c>
      <c r="P60" s="60">
        <f t="shared" si="2"/>
        <v>0.11670907103806516</v>
      </c>
      <c r="Q60" s="60">
        <f t="shared" si="2"/>
        <v>0.2196799692527911</v>
      </c>
      <c r="R60" s="60">
        <f t="shared" si="3"/>
        <v>0.1472030542332643</v>
      </c>
      <c r="S60" s="64"/>
      <c r="T60" s="60">
        <f t="shared" si="4"/>
        <v>4.2972632804191502E-2</v>
      </c>
      <c r="U60" s="60">
        <f t="shared" si="4"/>
        <v>-6.9994464639993037E-3</v>
      </c>
      <c r="V60" s="60">
        <f t="shared" si="4"/>
        <v>5.6084448943186649E-2</v>
      </c>
      <c r="W60" s="60">
        <f t="shared" si="5"/>
        <v>3.068587842779295E-2</v>
      </c>
      <c r="X60" s="5"/>
      <c r="Y60" s="5"/>
      <c r="Z60" s="5"/>
      <c r="AA60" s="39">
        <v>1976</v>
      </c>
      <c r="AB60" s="39">
        <f t="shared" si="7"/>
        <v>45</v>
      </c>
      <c r="AC60" s="39">
        <v>1</v>
      </c>
      <c r="AD60" s="39">
        <v>1</v>
      </c>
      <c r="AE60" s="39" t="s">
        <v>17</v>
      </c>
    </row>
    <row r="61" spans="1:31" s="71" customFormat="1" ht="30" x14ac:dyDescent="0.25">
      <c r="A61" s="67" t="s">
        <v>289</v>
      </c>
      <c r="B61" s="68"/>
      <c r="C61" s="68"/>
      <c r="D61" s="68"/>
      <c r="E61" s="68"/>
      <c r="F61" s="68">
        <v>3828137</v>
      </c>
      <c r="G61" s="68">
        <v>5599328</v>
      </c>
      <c r="H61" s="68">
        <v>3816722.45</v>
      </c>
      <c r="I61" s="68">
        <v>4633519.68</v>
      </c>
      <c r="J61" s="68">
        <v>553594</v>
      </c>
      <c r="K61" s="68">
        <v>472041</v>
      </c>
      <c r="L61" s="68">
        <v>351671.01</v>
      </c>
      <c r="M61" s="68">
        <v>431857.03</v>
      </c>
      <c r="N61" s="68"/>
      <c r="O61" s="69">
        <f t="shared" si="2"/>
        <v>0.46267701495531632</v>
      </c>
      <c r="P61" s="69">
        <f t="shared" si="2"/>
        <v>-0.31836062291760725</v>
      </c>
      <c r="Q61" s="69">
        <f t="shared" si="2"/>
        <v>0.21400488002474471</v>
      </c>
      <c r="R61" s="69">
        <f t="shared" si="3"/>
        <v>0.11944042402081793</v>
      </c>
      <c r="S61" s="68"/>
      <c r="T61" s="69">
        <f t="shared" si="4"/>
        <v>-0.14731554171468619</v>
      </c>
      <c r="U61" s="69">
        <f t="shared" si="4"/>
        <v>-0.25499901491607724</v>
      </c>
      <c r="V61" s="69">
        <f t="shared" si="4"/>
        <v>0.22801430234468301</v>
      </c>
      <c r="W61" s="78">
        <f t="shared" si="5"/>
        <v>-5.8100084762026806E-2</v>
      </c>
      <c r="X61" s="68"/>
      <c r="Y61" s="68"/>
      <c r="Z61" s="68"/>
      <c r="AA61" s="70">
        <v>2002</v>
      </c>
      <c r="AB61" s="70">
        <f t="shared" si="7"/>
        <v>19</v>
      </c>
      <c r="AC61" s="70">
        <v>3</v>
      </c>
      <c r="AD61" s="70">
        <v>1</v>
      </c>
      <c r="AE61" s="70" t="s">
        <v>5</v>
      </c>
    </row>
    <row r="62" spans="1:31" ht="45" x14ac:dyDescent="0.25">
      <c r="A62" s="4" t="s">
        <v>295</v>
      </c>
      <c r="B62" s="5"/>
      <c r="C62" s="5"/>
      <c r="D62" s="5"/>
      <c r="E62" s="5"/>
      <c r="F62" s="5">
        <v>7490552.79</v>
      </c>
      <c r="G62" s="5">
        <v>7293189.3899999997</v>
      </c>
      <c r="H62" s="5">
        <v>15189063.65</v>
      </c>
      <c r="I62" s="5">
        <v>16349481.6</v>
      </c>
      <c r="J62" s="5">
        <v>2605684.9300000002</v>
      </c>
      <c r="K62" s="5">
        <v>2801128.92</v>
      </c>
      <c r="L62" s="5">
        <v>10282276.59</v>
      </c>
      <c r="M62" s="5">
        <v>10034342.380000001</v>
      </c>
      <c r="N62" s="5"/>
      <c r="O62" s="60">
        <f t="shared" si="2"/>
        <v>-2.6348309067854569E-2</v>
      </c>
      <c r="P62" s="60">
        <f t="shared" si="2"/>
        <v>1.0826366679612582</v>
      </c>
      <c r="Q62" s="60">
        <f t="shared" si="2"/>
        <v>7.6398254476996552E-2</v>
      </c>
      <c r="R62" s="60">
        <f t="shared" si="3"/>
        <v>0.37756220445680011</v>
      </c>
      <c r="S62" s="64"/>
      <c r="T62" s="60">
        <f t="shared" si="4"/>
        <v>7.500676223352909E-2</v>
      </c>
      <c r="U62" s="60">
        <f t="shared" si="4"/>
        <v>2.6707616406316634</v>
      </c>
      <c r="V62" s="60">
        <f t="shared" si="4"/>
        <v>-2.4112773842431601E-2</v>
      </c>
      <c r="W62" s="77">
        <f t="shared" si="5"/>
        <v>0.90721854300758709</v>
      </c>
      <c r="X62" s="5"/>
      <c r="Y62" s="5"/>
      <c r="Z62" s="5"/>
      <c r="AA62" s="39">
        <v>1969</v>
      </c>
      <c r="AB62" s="39">
        <f t="shared" si="7"/>
        <v>52</v>
      </c>
      <c r="AC62" s="39">
        <v>3</v>
      </c>
      <c r="AD62" s="39">
        <v>1</v>
      </c>
      <c r="AE62" s="39" t="s">
        <v>297</v>
      </c>
    </row>
    <row r="63" spans="1:31" ht="30" x14ac:dyDescent="0.25">
      <c r="A63" s="4" t="s">
        <v>300</v>
      </c>
      <c r="B63" s="5"/>
      <c r="C63" s="5"/>
      <c r="D63" s="5"/>
      <c r="E63" s="5"/>
      <c r="F63" s="5">
        <v>25346265</v>
      </c>
      <c r="G63" s="5">
        <v>30527527</v>
      </c>
      <c r="H63" s="5">
        <v>35383020</v>
      </c>
      <c r="I63" s="5">
        <v>57622196</v>
      </c>
      <c r="J63" s="5">
        <f>10496340+20660</f>
        <v>10517000</v>
      </c>
      <c r="K63" s="5">
        <f>12018824+20660</f>
        <v>12039484</v>
      </c>
      <c r="L63" s="5">
        <v>14205566</v>
      </c>
      <c r="M63" s="5">
        <v>31682258</v>
      </c>
      <c r="N63" s="5"/>
      <c r="O63" s="60">
        <f t="shared" si="2"/>
        <v>0.20441915209203398</v>
      </c>
      <c r="P63" s="60">
        <f t="shared" si="2"/>
        <v>0.15905294261143399</v>
      </c>
      <c r="Q63" s="60">
        <f t="shared" si="2"/>
        <v>0.62852679053399063</v>
      </c>
      <c r="R63" s="60">
        <f t="shared" si="3"/>
        <v>0.33066629507915285</v>
      </c>
      <c r="S63" s="64"/>
      <c r="T63" s="60">
        <f t="shared" si="4"/>
        <v>0.14476409622515929</v>
      </c>
      <c r="U63" s="60">
        <f t="shared" si="4"/>
        <v>0.17991485349372116</v>
      </c>
      <c r="V63" s="60">
        <f t="shared" si="4"/>
        <v>1.2302707262772916</v>
      </c>
      <c r="W63" s="60">
        <f t="shared" si="5"/>
        <v>0.51831655866539073</v>
      </c>
      <c r="X63" s="5"/>
      <c r="Y63" s="5"/>
      <c r="Z63" s="5"/>
      <c r="AA63" s="39">
        <v>2002</v>
      </c>
      <c r="AB63" s="39">
        <f t="shared" si="7"/>
        <v>19</v>
      </c>
      <c r="AC63" s="39">
        <v>1</v>
      </c>
      <c r="AD63" s="39">
        <v>1</v>
      </c>
      <c r="AE63" s="39" t="s">
        <v>5</v>
      </c>
    </row>
    <row r="64" spans="1:31" x14ac:dyDescent="0.25">
      <c r="A64" s="4" t="s">
        <v>304</v>
      </c>
      <c r="B64" s="5"/>
      <c r="C64" s="5"/>
      <c r="D64" s="5"/>
      <c r="E64" s="5"/>
      <c r="F64" s="5">
        <v>25403659</v>
      </c>
      <c r="G64" s="5">
        <v>31479549</v>
      </c>
      <c r="H64" s="5">
        <v>34644898</v>
      </c>
      <c r="I64" s="5">
        <v>35952386</v>
      </c>
      <c r="J64" s="5">
        <f>2006850+15262570+33434</f>
        <v>17302854</v>
      </c>
      <c r="K64" s="5">
        <f>1944453+14821501+64861</f>
        <v>16830815</v>
      </c>
      <c r="L64" s="5">
        <f>1885123+16429624+41878</f>
        <v>18356625</v>
      </c>
      <c r="M64" s="5">
        <f>1825789+16163963+18895</f>
        <v>18008647</v>
      </c>
      <c r="N64" s="5"/>
      <c r="O64" s="60">
        <f t="shared" si="2"/>
        <v>0.23917381350458222</v>
      </c>
      <c r="P64" s="60">
        <f t="shared" si="2"/>
        <v>0.10055255238885419</v>
      </c>
      <c r="Q64" s="60">
        <f t="shared" si="2"/>
        <v>3.7739698353275619E-2</v>
      </c>
      <c r="R64" s="60">
        <f t="shared" si="3"/>
        <v>0.12582202141557067</v>
      </c>
      <c r="S64" s="64"/>
      <c r="T64" s="60">
        <f t="shared" si="4"/>
        <v>-2.7280990754473211E-2</v>
      </c>
      <c r="U64" s="60">
        <f t="shared" si="4"/>
        <v>9.0655740675659402E-2</v>
      </c>
      <c r="V64" s="60">
        <f t="shared" si="4"/>
        <v>-1.895653476605863E-2</v>
      </c>
      <c r="W64" s="60">
        <f t="shared" si="5"/>
        <v>1.4806071718375854E-2</v>
      </c>
      <c r="X64" s="5"/>
      <c r="Y64" s="5"/>
      <c r="Z64" s="5"/>
      <c r="AA64" s="39">
        <v>1967</v>
      </c>
      <c r="AB64" s="39">
        <f t="shared" si="7"/>
        <v>54</v>
      </c>
      <c r="AC64" s="39">
        <v>1</v>
      </c>
      <c r="AD64" s="39">
        <v>1</v>
      </c>
      <c r="AE64" s="39" t="s">
        <v>5</v>
      </c>
    </row>
    <row r="65" spans="1:31" s="40" customFormat="1" ht="30" x14ac:dyDescent="0.25">
      <c r="A65" s="63" t="s">
        <v>311</v>
      </c>
      <c r="B65" s="64"/>
      <c r="C65" s="64"/>
      <c r="D65" s="64"/>
      <c r="E65" s="64"/>
      <c r="F65" s="64">
        <v>12708000</v>
      </c>
      <c r="G65" s="64">
        <v>12483000</v>
      </c>
      <c r="H65" s="64">
        <v>13649000</v>
      </c>
      <c r="I65" s="64">
        <v>12487000</v>
      </c>
      <c r="J65" s="64">
        <f>1994000+57000</f>
        <v>2051000</v>
      </c>
      <c r="K65" s="64">
        <f>1923000+60000</f>
        <v>1983000</v>
      </c>
      <c r="L65" s="64">
        <f>1941000+54000</f>
        <v>1995000</v>
      </c>
      <c r="M65" s="64">
        <f>1894000+35000</f>
        <v>1929000</v>
      </c>
      <c r="N65" s="64"/>
      <c r="O65" s="65">
        <f t="shared" si="2"/>
        <v>-1.770538243626063E-2</v>
      </c>
      <c r="P65" s="65">
        <f t="shared" si="2"/>
        <v>9.3407033565649389E-2</v>
      </c>
      <c r="Q65" s="65">
        <f t="shared" si="2"/>
        <v>-8.513444208366916E-2</v>
      </c>
      <c r="R65" s="65">
        <f t="shared" si="3"/>
        <v>-3.1442636514268005E-3</v>
      </c>
      <c r="S65" s="64"/>
      <c r="T65" s="65">
        <f t="shared" si="4"/>
        <v>-3.3154558751828378E-2</v>
      </c>
      <c r="U65" s="65">
        <f t="shared" si="4"/>
        <v>6.0514372163389396E-3</v>
      </c>
      <c r="V65" s="65">
        <f t="shared" si="4"/>
        <v>-3.3082706766917269E-2</v>
      </c>
      <c r="W65" s="78">
        <f t="shared" si="5"/>
        <v>-2.0061942767468904E-2</v>
      </c>
      <c r="X65" s="64"/>
      <c r="Y65" s="64"/>
      <c r="Z65" s="64"/>
      <c r="AA65" s="39">
        <v>1967</v>
      </c>
      <c r="AB65" s="39">
        <f t="shared" si="7"/>
        <v>54</v>
      </c>
      <c r="AC65" s="39">
        <v>1</v>
      </c>
      <c r="AD65" s="39">
        <v>1</v>
      </c>
      <c r="AE65" s="39" t="s">
        <v>5</v>
      </c>
    </row>
    <row r="66" spans="1:31" s="40" customFormat="1" ht="45" x14ac:dyDescent="0.25">
      <c r="A66" s="63" t="s">
        <v>313</v>
      </c>
      <c r="B66" s="64"/>
      <c r="C66" s="64"/>
      <c r="D66" s="64"/>
      <c r="E66" s="64"/>
      <c r="F66" s="64">
        <v>18162175.73</v>
      </c>
      <c r="G66" s="64">
        <v>15166409.109999999</v>
      </c>
      <c r="H66" s="64">
        <v>14489203.189999999</v>
      </c>
      <c r="I66" s="64">
        <v>14085296.76</v>
      </c>
      <c r="J66" s="64">
        <v>9745177.9499999993</v>
      </c>
      <c r="K66" s="64">
        <v>9883930.6300000008</v>
      </c>
      <c r="L66" s="64">
        <v>9248181.6400000006</v>
      </c>
      <c r="M66" s="64">
        <v>8815065.3000000007</v>
      </c>
      <c r="N66" s="64"/>
      <c r="O66" s="65">
        <f t="shared" si="2"/>
        <v>-0.16494536032110074</v>
      </c>
      <c r="P66" s="65">
        <f t="shared" si="2"/>
        <v>-4.4651698044561039E-2</v>
      </c>
      <c r="Q66" s="65">
        <f t="shared" si="2"/>
        <v>-2.7876372820747175E-2</v>
      </c>
      <c r="R66" s="65">
        <f t="shared" si="3"/>
        <v>-7.9157810395469652E-2</v>
      </c>
      <c r="S66" s="64"/>
      <c r="T66" s="65">
        <f t="shared" si="4"/>
        <v>1.4238085821716817E-2</v>
      </c>
      <c r="U66" s="65">
        <f t="shared" si="4"/>
        <v>-6.4321474299946613E-2</v>
      </c>
      <c r="V66" s="65">
        <f t="shared" si="4"/>
        <v>-4.6832594434207064E-2</v>
      </c>
      <c r="W66" s="78">
        <f t="shared" si="5"/>
        <v>-3.2305327637478953E-2</v>
      </c>
      <c r="X66" s="64"/>
      <c r="Y66" s="64"/>
      <c r="Z66" s="64"/>
      <c r="AA66" s="39">
        <v>1986</v>
      </c>
      <c r="AB66" s="39">
        <f t="shared" si="7"/>
        <v>35</v>
      </c>
      <c r="AC66" s="39">
        <v>3</v>
      </c>
      <c r="AD66" s="39">
        <v>1</v>
      </c>
      <c r="AE66" s="39" t="s">
        <v>192</v>
      </c>
    </row>
    <row r="67" spans="1:31" s="71" customFormat="1" ht="45" x14ac:dyDescent="0.25">
      <c r="A67" s="67" t="s">
        <v>316</v>
      </c>
      <c r="B67" s="68"/>
      <c r="C67" s="68"/>
      <c r="D67" s="68"/>
      <c r="E67" s="68"/>
      <c r="F67" s="68">
        <v>667876</v>
      </c>
      <c r="G67" s="68">
        <v>422936</v>
      </c>
      <c r="H67" s="68">
        <v>822306</v>
      </c>
      <c r="I67" s="68">
        <v>1091133</v>
      </c>
      <c r="J67" s="68">
        <v>151958</v>
      </c>
      <c r="K67" s="68">
        <v>117217</v>
      </c>
      <c r="L67" s="68">
        <f>91926+3019</f>
        <v>94945</v>
      </c>
      <c r="M67" s="68">
        <f>33574</f>
        <v>33574</v>
      </c>
      <c r="N67" s="68"/>
      <c r="O67" s="69">
        <f t="shared" ref="O67:Q68" si="8">(G67/F67)-1</f>
        <v>-0.36674472506872535</v>
      </c>
      <c r="P67" s="69">
        <f t="shared" si="8"/>
        <v>0.94427998562430249</v>
      </c>
      <c r="Q67" s="69">
        <f t="shared" si="8"/>
        <v>0.3269184464177568</v>
      </c>
      <c r="R67" s="69">
        <f t="shared" ref="R67:R68" si="9">AVERAGE(O67:Q67)</f>
        <v>0.30148456899111131</v>
      </c>
      <c r="S67" s="68"/>
      <c r="T67" s="69">
        <f t="shared" ref="T67:V68" si="10">(K67/J67)-1</f>
        <v>-0.22862238250042777</v>
      </c>
      <c r="U67" s="69">
        <f t="shared" si="10"/>
        <v>-0.19000656901302715</v>
      </c>
      <c r="V67" s="69">
        <f t="shared" si="10"/>
        <v>-0.64638474906524834</v>
      </c>
      <c r="W67" s="78">
        <f t="shared" ref="W67:W68" si="11">AVERAGE(T67:V67)</f>
        <v>-0.35500456685956777</v>
      </c>
      <c r="X67" s="68"/>
      <c r="Y67" s="68"/>
      <c r="Z67" s="68"/>
      <c r="AA67" s="70">
        <v>2000</v>
      </c>
      <c r="AB67" s="70">
        <f t="shared" si="7"/>
        <v>21</v>
      </c>
      <c r="AC67" s="70">
        <v>1</v>
      </c>
      <c r="AD67" s="70">
        <v>1</v>
      </c>
      <c r="AE67" s="70" t="s">
        <v>5</v>
      </c>
    </row>
    <row r="68" spans="1:31" ht="64.900000000000006" customHeight="1" x14ac:dyDescent="0.25">
      <c r="A68" s="4"/>
      <c r="B68" s="5"/>
      <c r="C68" s="5"/>
      <c r="D68" s="5"/>
      <c r="E68" s="5"/>
      <c r="F68" s="5">
        <f>SUM(F2:F67)</f>
        <v>2424072151.0400004</v>
      </c>
      <c r="G68" s="5">
        <f t="shared" ref="G68:M68" si="12">SUM(G2:G67)</f>
        <v>2608047833.5599999</v>
      </c>
      <c r="H68" s="5">
        <f t="shared" si="12"/>
        <v>2703783286.7899995</v>
      </c>
      <c r="I68" s="5">
        <f t="shared" si="12"/>
        <v>2969266493.0899992</v>
      </c>
      <c r="J68" s="5">
        <f t="shared" si="12"/>
        <v>1462481171.7800002</v>
      </c>
      <c r="K68" s="5">
        <f t="shared" si="12"/>
        <v>1569701198.7499998</v>
      </c>
      <c r="L68" s="5">
        <f t="shared" si="12"/>
        <v>1617120722.24</v>
      </c>
      <c r="M68" s="5">
        <f t="shared" si="12"/>
        <v>1664130622.73</v>
      </c>
      <c r="N68" s="5"/>
      <c r="O68" s="60">
        <f t="shared" si="8"/>
        <v>7.5895299750491585E-2</v>
      </c>
      <c r="P68" s="60">
        <f t="shared" si="8"/>
        <v>3.6707706046679389E-2</v>
      </c>
      <c r="Q68" s="60">
        <f t="shared" si="8"/>
        <v>9.8189528575416407E-2</v>
      </c>
      <c r="R68" s="60">
        <f t="shared" si="9"/>
        <v>7.0264178124195789E-2</v>
      </c>
      <c r="S68" s="64"/>
      <c r="T68" s="60">
        <f t="shared" si="10"/>
        <v>7.3313782795234816E-2</v>
      </c>
      <c r="U68" s="60">
        <f t="shared" si="10"/>
        <v>3.0209267552169683E-2</v>
      </c>
      <c r="V68" s="60">
        <f t="shared" si="10"/>
        <v>2.9070124353414384E-2</v>
      </c>
      <c r="W68" s="60">
        <f t="shared" si="11"/>
        <v>4.4197724900272961E-2</v>
      </c>
      <c r="X68" s="5"/>
      <c r="Y68" s="5"/>
      <c r="Z68" s="5"/>
      <c r="AA68" s="39"/>
      <c r="AB68" s="39"/>
      <c r="AC68" s="39"/>
      <c r="AD68" s="39"/>
      <c r="AE68" s="39"/>
    </row>
    <row r="69" spans="1:31" ht="49.9" customHeigh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64"/>
      <c r="T69" s="5"/>
      <c r="U69" s="5"/>
      <c r="V69" s="5"/>
      <c r="W69" s="5"/>
      <c r="X69" s="5"/>
      <c r="Y69" s="5"/>
      <c r="Z69" s="5"/>
      <c r="AA69" s="39"/>
      <c r="AB69" s="39"/>
      <c r="AC69" s="39"/>
      <c r="AD69" s="39"/>
      <c r="AE69" s="39"/>
    </row>
    <row r="70" spans="1:31" x14ac:dyDescent="0.25">
      <c r="A70" s="4"/>
      <c r="B70" s="5"/>
      <c r="C70" s="5"/>
      <c r="D70" s="5"/>
      <c r="E70" s="5"/>
      <c r="F70" s="5"/>
      <c r="G70" s="5">
        <v>2424072151.0400004</v>
      </c>
      <c r="H70" s="5">
        <v>2608047833.5599999</v>
      </c>
      <c r="I70" s="5">
        <v>2703783286.7899995</v>
      </c>
      <c r="J70" s="5">
        <v>2969266493.0899992</v>
      </c>
      <c r="K70" s="5"/>
      <c r="L70" s="5"/>
      <c r="M70" s="5"/>
      <c r="N70" s="5"/>
      <c r="O70" s="5"/>
      <c r="P70" s="5"/>
      <c r="Q70" s="5"/>
      <c r="R70" s="5"/>
      <c r="S70" s="64"/>
      <c r="T70" s="5"/>
      <c r="U70" s="5"/>
      <c r="V70" s="5"/>
      <c r="W70" s="5"/>
      <c r="X70" s="5"/>
      <c r="Y70" s="5"/>
      <c r="Z70" s="5"/>
      <c r="AA70" s="39"/>
      <c r="AB70" s="39"/>
      <c r="AC70" s="39"/>
      <c r="AD70" s="39"/>
      <c r="AE70" s="39"/>
    </row>
    <row r="71" spans="1:31" x14ac:dyDescent="0.25">
      <c r="A71" s="4"/>
      <c r="B71" s="5"/>
      <c r="C71" s="5"/>
      <c r="D71" s="5"/>
      <c r="E71" s="5"/>
      <c r="F71" s="5"/>
      <c r="G71" s="5"/>
      <c r="H71" s="61">
        <v>7.5895299750491585E-2</v>
      </c>
      <c r="I71" s="61">
        <v>3.6707706046679389E-2</v>
      </c>
      <c r="J71" s="61">
        <v>9.8189528575416407E-2</v>
      </c>
      <c r="K71" s="5"/>
      <c r="L71" s="5"/>
      <c r="M71" s="5"/>
      <c r="N71" s="5"/>
      <c r="O71" s="5"/>
      <c r="P71" s="5"/>
      <c r="Q71" s="5"/>
      <c r="R71" s="5"/>
      <c r="S71" s="64"/>
      <c r="T71" s="5"/>
      <c r="U71" s="5"/>
      <c r="V71" s="5"/>
      <c r="W71" s="5"/>
      <c r="X71" s="5"/>
      <c r="Y71" s="5"/>
      <c r="Z71" s="5"/>
      <c r="AA71" s="39"/>
      <c r="AB71" s="39"/>
      <c r="AC71" s="39"/>
      <c r="AD71" s="39"/>
      <c r="AE71" s="39"/>
    </row>
    <row r="72" spans="1:31" x14ac:dyDescent="0.25">
      <c r="A72" s="4"/>
      <c r="B72" s="5"/>
      <c r="C72" s="5"/>
      <c r="D72" s="5"/>
      <c r="E72" s="5"/>
      <c r="F72" s="98">
        <v>2017</v>
      </c>
      <c r="G72" s="96">
        <v>2424072151.0400004</v>
      </c>
      <c r="H72" s="101"/>
      <c r="I72" s="5"/>
      <c r="J72" s="5"/>
      <c r="K72" s="5"/>
      <c r="L72" s="5"/>
      <c r="M72" s="5"/>
      <c r="N72" s="5"/>
      <c r="O72" s="5"/>
      <c r="P72" s="5"/>
      <c r="Q72" s="5"/>
      <c r="R72" s="5"/>
      <c r="S72" s="64"/>
      <c r="T72" s="5"/>
      <c r="U72" s="5"/>
      <c r="V72" s="5"/>
      <c r="W72" s="5"/>
      <c r="X72" s="5"/>
      <c r="Y72" s="5"/>
      <c r="Z72" s="5"/>
      <c r="AA72" s="39"/>
      <c r="AB72" s="39"/>
      <c r="AC72" s="39"/>
      <c r="AD72" s="39"/>
      <c r="AE72" s="39"/>
    </row>
    <row r="73" spans="1:31" x14ac:dyDescent="0.25">
      <c r="A73" s="4"/>
      <c r="B73" s="5"/>
      <c r="C73" s="5"/>
      <c r="D73" s="5"/>
      <c r="E73" s="5"/>
      <c r="F73" s="98">
        <v>2018</v>
      </c>
      <c r="G73" s="96">
        <v>2608047833.5599999</v>
      </c>
      <c r="H73" s="101">
        <v>7.5895299750491585E-2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64"/>
      <c r="T73" s="5"/>
      <c r="U73" s="5"/>
      <c r="V73" s="5"/>
      <c r="W73" s="5"/>
      <c r="X73" s="5"/>
      <c r="Y73" s="5"/>
      <c r="Z73" s="5"/>
      <c r="AA73" s="39"/>
      <c r="AB73" s="39"/>
      <c r="AC73" s="39"/>
      <c r="AD73" s="39"/>
      <c r="AE73" s="39"/>
    </row>
    <row r="74" spans="1:31" x14ac:dyDescent="0.25">
      <c r="A74" s="4"/>
      <c r="B74" s="5"/>
      <c r="C74" s="5"/>
      <c r="D74" s="5"/>
      <c r="E74" s="5"/>
      <c r="F74" s="98">
        <v>2019</v>
      </c>
      <c r="G74" s="96">
        <v>2703783286.7899995</v>
      </c>
      <c r="H74" s="101">
        <v>3.6707706046679389E-2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64"/>
      <c r="T74" s="5"/>
      <c r="U74" s="5"/>
      <c r="V74" s="5"/>
      <c r="W74" s="5"/>
      <c r="X74" s="5"/>
      <c r="Y74" s="5"/>
      <c r="Z74" s="5"/>
      <c r="AA74" s="39"/>
      <c r="AB74" s="39"/>
      <c r="AC74" s="39"/>
      <c r="AD74" s="39"/>
      <c r="AE74" s="39"/>
    </row>
    <row r="75" spans="1:31" x14ac:dyDescent="0.25">
      <c r="A75" s="4"/>
      <c r="B75" s="5"/>
      <c r="C75" s="5"/>
      <c r="D75" s="5"/>
      <c r="E75" s="5"/>
      <c r="F75" s="98">
        <v>2020</v>
      </c>
      <c r="G75" s="96">
        <v>2969266493.0899992</v>
      </c>
      <c r="H75" s="101">
        <v>9.8189528575416407E-2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64"/>
      <c r="T75" s="5"/>
      <c r="U75" s="5"/>
      <c r="V75" s="5"/>
      <c r="W75" s="5"/>
      <c r="X75" s="5"/>
      <c r="Y75" s="5"/>
      <c r="Z75" s="5"/>
      <c r="AA75" s="39"/>
      <c r="AB75" s="39"/>
      <c r="AC75" s="39"/>
      <c r="AD75" s="39"/>
      <c r="AE75" s="39"/>
    </row>
    <row r="76" spans="1:31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64"/>
      <c r="T76" s="5"/>
      <c r="U76" s="5"/>
      <c r="V76" s="5"/>
      <c r="W76" s="5"/>
      <c r="X76" s="5"/>
      <c r="Y76" s="5"/>
      <c r="Z76" s="5"/>
      <c r="AA76" s="39"/>
      <c r="AB76" s="39"/>
      <c r="AC76" s="39"/>
      <c r="AD76" s="39"/>
      <c r="AE76" s="39"/>
    </row>
    <row r="77" spans="1:31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64"/>
      <c r="T77" s="5"/>
      <c r="U77" s="5"/>
      <c r="V77" s="5"/>
      <c r="W77" s="5"/>
      <c r="X77" s="5"/>
      <c r="Y77" s="5"/>
      <c r="Z77" s="5"/>
      <c r="AA77" s="39"/>
      <c r="AB77" s="39"/>
      <c r="AC77" s="39"/>
      <c r="AD77" s="39"/>
      <c r="AE77" s="39"/>
    </row>
    <row r="78" spans="1:3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64"/>
      <c r="T78" s="5"/>
      <c r="U78" s="5"/>
      <c r="V78" s="5"/>
      <c r="W78" s="5"/>
      <c r="X78" s="5"/>
      <c r="Y78" s="5"/>
      <c r="Z78" s="5"/>
      <c r="AA78" s="39"/>
      <c r="AB78" s="39"/>
      <c r="AC78" s="39"/>
      <c r="AD78" s="39"/>
      <c r="AE78" s="39"/>
    </row>
    <row r="79" spans="1:31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64"/>
      <c r="T79" s="5"/>
      <c r="U79" s="5"/>
      <c r="V79" s="5"/>
      <c r="W79" s="5"/>
      <c r="X79" s="5"/>
      <c r="Y79" s="5"/>
      <c r="Z79" s="5"/>
      <c r="AA79" s="39"/>
      <c r="AB79" s="39"/>
      <c r="AC79" s="39"/>
      <c r="AD79" s="39"/>
      <c r="AE79" s="39"/>
    </row>
    <row r="80" spans="1:31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64"/>
      <c r="T80" s="5"/>
      <c r="U80" s="5"/>
      <c r="V80" s="5"/>
      <c r="W80" s="5"/>
      <c r="X80" s="5"/>
      <c r="Y80" s="5"/>
      <c r="Z80" s="5"/>
      <c r="AA80" s="39"/>
      <c r="AB80" s="39"/>
      <c r="AC80" s="39"/>
      <c r="AD80" s="39"/>
      <c r="AE80" s="39"/>
    </row>
    <row r="81" spans="1:3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64"/>
      <c r="T81" s="5"/>
      <c r="U81" s="5"/>
      <c r="V81" s="5"/>
      <c r="W81" s="5"/>
      <c r="X81" s="5"/>
      <c r="Y81" s="5"/>
      <c r="Z81" s="5"/>
      <c r="AA81" s="39"/>
      <c r="AB81" s="39"/>
      <c r="AC81" s="39"/>
      <c r="AD81" s="39"/>
      <c r="AE81" s="39"/>
    </row>
    <row r="82" spans="1:3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64"/>
      <c r="T82" s="5"/>
      <c r="U82" s="5"/>
      <c r="V82" s="5"/>
      <c r="W82" s="5"/>
      <c r="X82" s="5"/>
      <c r="Y82" s="5"/>
      <c r="Z82" s="5"/>
      <c r="AA82" s="39"/>
      <c r="AB82" s="39"/>
      <c r="AC82" s="39"/>
      <c r="AD82" s="39"/>
      <c r="AE82" s="39"/>
    </row>
    <row r="83" spans="1:31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64"/>
      <c r="T83" s="5"/>
      <c r="U83" s="5"/>
      <c r="V83" s="5"/>
      <c r="W83" s="5"/>
      <c r="X83" s="5"/>
      <c r="Y83" s="5"/>
      <c r="Z83" s="5"/>
      <c r="AA83" s="39"/>
      <c r="AB83" s="39"/>
      <c r="AC83" s="39"/>
      <c r="AD83" s="39"/>
      <c r="AE83" s="39"/>
    </row>
    <row r="84" spans="1:31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64"/>
      <c r="T84" s="5"/>
      <c r="U84" s="5"/>
      <c r="V84" s="5"/>
      <c r="W84" s="5"/>
      <c r="X84" s="5"/>
      <c r="Y84" s="5"/>
      <c r="Z84" s="5"/>
      <c r="AA84" s="39"/>
      <c r="AB84" s="39"/>
      <c r="AC84" s="39"/>
      <c r="AD84" s="39"/>
      <c r="AE84" s="39"/>
    </row>
    <row r="85" spans="1:3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64"/>
      <c r="T85" s="5"/>
      <c r="U85" s="5"/>
      <c r="V85" s="5"/>
      <c r="W85" s="5"/>
      <c r="X85" s="5"/>
      <c r="Y85" s="5"/>
      <c r="Z85" s="5"/>
      <c r="AA85" s="39"/>
      <c r="AB85" s="39"/>
      <c r="AC85" s="39"/>
      <c r="AD85" s="39"/>
      <c r="AE85" s="39"/>
    </row>
    <row r="86" spans="1:3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64"/>
      <c r="T86" s="5"/>
      <c r="U86" s="5"/>
      <c r="V86" s="5"/>
      <c r="W86" s="5"/>
      <c r="X86" s="5"/>
      <c r="Y86" s="5"/>
      <c r="Z86" s="5"/>
      <c r="AA86" s="39"/>
      <c r="AB86" s="39"/>
      <c r="AC86" s="39"/>
      <c r="AD86" s="39"/>
      <c r="AE86" s="39"/>
    </row>
    <row r="87" spans="1:31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64"/>
      <c r="T87" s="5"/>
      <c r="U87" s="5"/>
      <c r="V87" s="5"/>
      <c r="W87" s="5"/>
      <c r="X87" s="5"/>
      <c r="Y87" s="5"/>
      <c r="Z87" s="5"/>
      <c r="AA87" s="39"/>
      <c r="AB87" s="39"/>
      <c r="AC87" s="39"/>
      <c r="AD87" s="39"/>
      <c r="AE87" s="39"/>
    </row>
    <row r="88" spans="1:3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64"/>
      <c r="T88" s="5"/>
      <c r="U88" s="5"/>
      <c r="V88" s="5"/>
      <c r="W88" s="5"/>
      <c r="X88" s="5"/>
      <c r="Y88" s="5"/>
      <c r="Z88" s="5"/>
      <c r="AA88" s="39"/>
      <c r="AB88" s="39"/>
      <c r="AC88" s="39"/>
      <c r="AD88" s="39"/>
      <c r="AE88" s="39"/>
    </row>
    <row r="89" spans="1:31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64"/>
      <c r="T89" s="5"/>
      <c r="U89" s="5"/>
      <c r="V89" s="5"/>
      <c r="W89" s="5"/>
      <c r="X89" s="5"/>
      <c r="Y89" s="5"/>
      <c r="Z89" s="5"/>
      <c r="AA89" s="39"/>
      <c r="AB89" s="39"/>
      <c r="AC89" s="39"/>
      <c r="AD89" s="39"/>
      <c r="AE89" s="39"/>
    </row>
    <row r="90" spans="1:3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64"/>
      <c r="T90" s="5"/>
      <c r="U90" s="5"/>
      <c r="V90" s="5"/>
      <c r="W90" s="5"/>
      <c r="X90" s="5"/>
      <c r="Y90" s="5"/>
      <c r="Z90" s="5"/>
      <c r="AA90" s="39"/>
      <c r="AB90" s="39"/>
      <c r="AC90" s="39"/>
      <c r="AD90" s="39"/>
      <c r="AE90" s="39"/>
    </row>
    <row r="91" spans="1:31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64"/>
      <c r="T91" s="5"/>
      <c r="U91" s="5"/>
      <c r="V91" s="5"/>
      <c r="W91" s="5"/>
      <c r="X91" s="5"/>
      <c r="Y91" s="5"/>
      <c r="Z91" s="5"/>
      <c r="AA91" s="39"/>
      <c r="AB91" s="39"/>
      <c r="AC91" s="39"/>
      <c r="AD91" s="39"/>
      <c r="AE91" s="39"/>
    </row>
    <row r="92" spans="1:31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64"/>
      <c r="T92" s="5"/>
      <c r="U92" s="5"/>
      <c r="V92" s="5"/>
      <c r="W92" s="5"/>
      <c r="X92" s="5"/>
      <c r="Y92" s="5"/>
      <c r="Z92" s="5"/>
      <c r="AA92" s="39"/>
      <c r="AB92" s="39"/>
      <c r="AC92" s="39"/>
      <c r="AD92" s="39"/>
      <c r="AE92" s="39"/>
    </row>
    <row r="93" spans="1:31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64"/>
      <c r="T93" s="5"/>
      <c r="U93" s="5"/>
      <c r="V93" s="5"/>
      <c r="W93" s="5"/>
      <c r="X93" s="5"/>
      <c r="Y93" s="5"/>
      <c r="Z93" s="5"/>
      <c r="AA93" s="39"/>
      <c r="AB93" s="39"/>
      <c r="AC93" s="39"/>
      <c r="AD93" s="39"/>
      <c r="AE93" s="39"/>
    </row>
    <row r="94" spans="1:31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64"/>
      <c r="T94" s="5"/>
      <c r="U94" s="5"/>
      <c r="V94" s="5"/>
      <c r="W94" s="5"/>
      <c r="X94" s="5"/>
      <c r="Y94" s="5"/>
      <c r="Z94" s="5"/>
      <c r="AA94" s="39"/>
      <c r="AB94" s="39"/>
      <c r="AC94" s="39"/>
      <c r="AD94" s="39"/>
      <c r="AE94" s="39"/>
    </row>
    <row r="95" spans="1:31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64"/>
      <c r="T95" s="5"/>
      <c r="U95" s="5"/>
      <c r="V95" s="5"/>
      <c r="W95" s="5"/>
      <c r="X95" s="5"/>
      <c r="Y95" s="5"/>
      <c r="Z95" s="5"/>
      <c r="AA95" s="39"/>
      <c r="AB95" s="39"/>
      <c r="AC95" s="39"/>
      <c r="AD95" s="39"/>
      <c r="AE95" s="39"/>
    </row>
    <row r="96" spans="1:31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64"/>
      <c r="T96" s="5"/>
      <c r="U96" s="5"/>
      <c r="V96" s="5"/>
      <c r="W96" s="5"/>
      <c r="X96" s="5"/>
      <c r="Y96" s="5"/>
      <c r="Z96" s="5"/>
      <c r="AA96" s="39"/>
      <c r="AB96" s="39"/>
      <c r="AC96" s="39"/>
      <c r="AD96" s="39"/>
      <c r="AE96" s="39"/>
    </row>
    <row r="97" spans="1:31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64"/>
      <c r="T97" s="5"/>
      <c r="U97" s="5"/>
      <c r="V97" s="5"/>
      <c r="W97" s="5"/>
      <c r="X97" s="5"/>
      <c r="Y97" s="5"/>
      <c r="Z97" s="5"/>
      <c r="AA97" s="39"/>
      <c r="AB97" s="39"/>
      <c r="AC97" s="39"/>
      <c r="AD97" s="39"/>
      <c r="AE97" s="39"/>
    </row>
    <row r="98" spans="1:31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64"/>
      <c r="T98" s="5"/>
      <c r="U98" s="5"/>
      <c r="V98" s="5"/>
      <c r="W98" s="5"/>
      <c r="X98" s="5"/>
      <c r="Y98" s="5"/>
      <c r="Z98" s="5"/>
      <c r="AA98" s="39"/>
      <c r="AB98" s="39"/>
      <c r="AC98" s="39"/>
      <c r="AD98" s="39"/>
      <c r="AE98" s="39"/>
    </row>
    <row r="99" spans="1:31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64"/>
      <c r="T99" s="5"/>
      <c r="U99" s="5"/>
      <c r="V99" s="5"/>
      <c r="W99" s="5"/>
      <c r="X99" s="5"/>
      <c r="Y99" s="5"/>
      <c r="Z99" s="5"/>
      <c r="AA99" s="39"/>
      <c r="AB99" s="39"/>
      <c r="AC99" s="39"/>
      <c r="AD99" s="39"/>
      <c r="AE99" s="39"/>
    </row>
    <row r="100" spans="1:31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64"/>
      <c r="T100" s="5"/>
      <c r="U100" s="5"/>
      <c r="V100" s="5"/>
      <c r="W100" s="5"/>
      <c r="X100" s="5"/>
      <c r="Y100" s="5"/>
      <c r="Z100" s="5"/>
      <c r="AA100" s="39"/>
      <c r="AB100" s="39"/>
      <c r="AC100" s="39"/>
      <c r="AD100" s="39"/>
      <c r="AE100" s="39"/>
    </row>
    <row r="101" spans="1:31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64"/>
      <c r="T101" s="5"/>
      <c r="U101" s="5"/>
      <c r="V101" s="5"/>
      <c r="W101" s="5"/>
      <c r="X101" s="5"/>
      <c r="Y101" s="5"/>
      <c r="Z101" s="5"/>
      <c r="AA101" s="39"/>
      <c r="AB101" s="39"/>
      <c r="AC101" s="39"/>
      <c r="AD101" s="39"/>
      <c r="AE101" s="39"/>
    </row>
    <row r="102" spans="1:31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64"/>
      <c r="T102" s="5"/>
      <c r="U102" s="5"/>
      <c r="V102" s="5"/>
      <c r="W102" s="5"/>
      <c r="X102" s="5"/>
      <c r="Y102" s="5"/>
      <c r="Z102" s="5"/>
      <c r="AA102" s="39"/>
      <c r="AB102" s="39"/>
      <c r="AC102" s="39"/>
      <c r="AD102" s="39"/>
      <c r="AE102" s="39"/>
    </row>
    <row r="103" spans="1:31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64"/>
      <c r="T103" s="5"/>
      <c r="U103" s="5"/>
      <c r="V103" s="5"/>
      <c r="W103" s="5"/>
      <c r="X103" s="5"/>
      <c r="Y103" s="5"/>
      <c r="Z103" s="5"/>
      <c r="AA103" s="39"/>
      <c r="AB103" s="39"/>
      <c r="AC103" s="39"/>
      <c r="AD103" s="39"/>
      <c r="AE103" s="39"/>
    </row>
    <row r="104" spans="1:31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64"/>
      <c r="T104" s="5"/>
      <c r="U104" s="5"/>
      <c r="V104" s="5"/>
      <c r="W104" s="5"/>
      <c r="X104" s="5"/>
      <c r="Y104" s="5"/>
      <c r="Z104" s="5"/>
      <c r="AA104" s="39"/>
      <c r="AB104" s="39"/>
      <c r="AC104" s="39"/>
      <c r="AD104" s="39"/>
      <c r="AE104" s="39"/>
    </row>
    <row r="105" spans="1:31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64"/>
      <c r="T105" s="5"/>
      <c r="U105" s="5"/>
      <c r="V105" s="5"/>
      <c r="W105" s="5"/>
      <c r="X105" s="5"/>
      <c r="Y105" s="5"/>
      <c r="Z105" s="5"/>
      <c r="AA105" s="39"/>
      <c r="AB105" s="39"/>
      <c r="AC105" s="39"/>
      <c r="AD105" s="39"/>
      <c r="AE105" s="39"/>
    </row>
    <row r="106" spans="1:31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64"/>
      <c r="T106" s="5"/>
      <c r="U106" s="5"/>
      <c r="V106" s="5"/>
      <c r="W106" s="5"/>
      <c r="X106" s="5"/>
      <c r="Y106" s="5"/>
      <c r="Z106" s="5"/>
      <c r="AA106" s="39"/>
      <c r="AB106" s="39"/>
      <c r="AC106" s="39"/>
      <c r="AD106" s="39"/>
      <c r="AE106" s="39"/>
    </row>
    <row r="107" spans="1:31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64"/>
      <c r="T107" s="5"/>
      <c r="U107" s="5"/>
      <c r="V107" s="5"/>
      <c r="W107" s="5"/>
      <c r="X107" s="5"/>
      <c r="Y107" s="5"/>
      <c r="Z107" s="5"/>
      <c r="AA107" s="39"/>
      <c r="AB107" s="39"/>
      <c r="AC107" s="39"/>
      <c r="AD107" s="39"/>
      <c r="AE107" s="39"/>
    </row>
    <row r="108" spans="1:31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64"/>
      <c r="T108" s="5"/>
      <c r="U108" s="5"/>
      <c r="V108" s="5"/>
      <c r="W108" s="5"/>
      <c r="X108" s="5"/>
      <c r="Y108" s="5"/>
      <c r="Z108" s="5"/>
      <c r="AA108" s="39"/>
      <c r="AB108" s="39"/>
      <c r="AC108" s="39"/>
      <c r="AD108" s="39"/>
      <c r="AE108" s="39"/>
    </row>
    <row r="109" spans="1:31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64"/>
      <c r="T109" s="5"/>
      <c r="U109" s="5"/>
      <c r="V109" s="5"/>
      <c r="W109" s="5"/>
      <c r="X109" s="5"/>
      <c r="Y109" s="5"/>
      <c r="Z109" s="5"/>
      <c r="AA109" s="39"/>
      <c r="AB109" s="39"/>
      <c r="AC109" s="39"/>
      <c r="AD109" s="39"/>
      <c r="AE109" s="39"/>
    </row>
    <row r="110" spans="1:3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64"/>
      <c r="T110" s="5"/>
      <c r="U110" s="5"/>
      <c r="V110" s="5"/>
      <c r="W110" s="5"/>
      <c r="X110" s="5"/>
      <c r="Y110" s="5"/>
      <c r="Z110" s="5"/>
      <c r="AA110" s="39"/>
      <c r="AB110" s="39"/>
      <c r="AC110" s="39"/>
      <c r="AD110" s="39"/>
      <c r="AE110" s="39"/>
    </row>
    <row r="111" spans="1:31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64"/>
      <c r="T111" s="5"/>
      <c r="U111" s="5"/>
      <c r="V111" s="5"/>
      <c r="W111" s="5"/>
      <c r="X111" s="5"/>
      <c r="Y111" s="5"/>
      <c r="Z111" s="5"/>
      <c r="AA111" s="39"/>
      <c r="AB111" s="39"/>
      <c r="AC111" s="39"/>
      <c r="AD111" s="39"/>
      <c r="AE111" s="39"/>
    </row>
    <row r="112" spans="1:31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64"/>
      <c r="T112" s="5"/>
      <c r="U112" s="5"/>
      <c r="V112" s="5"/>
      <c r="W112" s="5"/>
      <c r="X112" s="5"/>
      <c r="Y112" s="5"/>
      <c r="Z112" s="5"/>
      <c r="AA112" s="39"/>
      <c r="AB112" s="39"/>
      <c r="AC112" s="39"/>
      <c r="AD112" s="39"/>
      <c r="AE112" s="39"/>
    </row>
    <row r="113" spans="1:31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64"/>
      <c r="T113" s="5"/>
      <c r="U113" s="5"/>
      <c r="V113" s="5"/>
      <c r="W113" s="5"/>
      <c r="X113" s="5"/>
      <c r="Y113" s="5"/>
      <c r="Z113" s="5"/>
      <c r="AA113" s="39"/>
      <c r="AB113" s="39"/>
      <c r="AC113" s="39"/>
      <c r="AD113" s="39"/>
      <c r="AE113" s="39"/>
    </row>
    <row r="114" spans="1:31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64"/>
      <c r="T114" s="5"/>
      <c r="U114" s="5"/>
      <c r="V114" s="5"/>
      <c r="W114" s="5"/>
      <c r="X114" s="5"/>
      <c r="Y114" s="5"/>
      <c r="Z114" s="5"/>
      <c r="AA114" s="39"/>
      <c r="AB114" s="39"/>
      <c r="AC114" s="39"/>
      <c r="AD114" s="39"/>
      <c r="AE114" s="39"/>
    </row>
    <row r="115" spans="1:31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64"/>
      <c r="T115" s="5"/>
      <c r="U115" s="5"/>
      <c r="V115" s="5"/>
      <c r="W115" s="5"/>
      <c r="X115" s="5"/>
      <c r="Y115" s="5"/>
      <c r="Z115" s="5"/>
      <c r="AA115" s="39"/>
      <c r="AB115" s="39"/>
      <c r="AC115" s="39"/>
      <c r="AD115" s="39"/>
      <c r="AE115" s="39"/>
    </row>
    <row r="116" spans="1:31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64"/>
      <c r="T116" s="5"/>
      <c r="U116" s="5"/>
      <c r="V116" s="5"/>
      <c r="W116" s="5"/>
      <c r="X116" s="5"/>
      <c r="Y116" s="5"/>
      <c r="Z116" s="5"/>
      <c r="AA116" s="39"/>
      <c r="AB116" s="39"/>
      <c r="AC116" s="39"/>
      <c r="AD116" s="39"/>
      <c r="AE116" s="39"/>
    </row>
    <row r="117" spans="1:31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64"/>
      <c r="T117" s="5"/>
      <c r="U117" s="5"/>
      <c r="V117" s="5"/>
      <c r="W117" s="5"/>
      <c r="X117" s="5"/>
      <c r="Y117" s="5"/>
      <c r="Z117" s="5"/>
      <c r="AA117" s="39"/>
      <c r="AB117" s="39"/>
      <c r="AC117" s="39"/>
      <c r="AD117" s="39"/>
      <c r="AE117" s="39"/>
    </row>
    <row r="118" spans="1:31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64"/>
      <c r="T118" s="5"/>
      <c r="U118" s="5"/>
      <c r="V118" s="5"/>
      <c r="W118" s="5"/>
      <c r="X118" s="5"/>
      <c r="Y118" s="5"/>
      <c r="Z118" s="5"/>
      <c r="AA118" s="39"/>
      <c r="AB118" s="39"/>
      <c r="AC118" s="39"/>
      <c r="AD118" s="39"/>
      <c r="AE118" s="39"/>
    </row>
    <row r="119" spans="1:31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64"/>
      <c r="T119" s="5"/>
      <c r="U119" s="5"/>
      <c r="V119" s="5"/>
      <c r="W119" s="5"/>
      <c r="X119" s="5"/>
      <c r="Y119" s="5"/>
      <c r="Z119" s="5"/>
      <c r="AA119" s="39"/>
      <c r="AB119" s="39"/>
      <c r="AC119" s="39"/>
      <c r="AD119" s="39"/>
      <c r="AE119" s="39"/>
    </row>
    <row r="120" spans="1:31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64"/>
      <c r="T120" s="5"/>
      <c r="U120" s="5"/>
      <c r="V120" s="5"/>
      <c r="W120" s="5"/>
      <c r="X120" s="5"/>
      <c r="Y120" s="5"/>
      <c r="Z120" s="5"/>
      <c r="AA120" s="39"/>
      <c r="AB120" s="39"/>
      <c r="AC120" s="39"/>
      <c r="AD120" s="39"/>
      <c r="AE120" s="39"/>
    </row>
    <row r="121" spans="1:31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64"/>
      <c r="T121" s="5"/>
      <c r="U121" s="5"/>
      <c r="V121" s="5"/>
      <c r="W121" s="5"/>
      <c r="X121" s="5"/>
      <c r="Y121" s="5"/>
      <c r="Z121" s="5"/>
      <c r="AA121" s="39"/>
      <c r="AB121" s="39"/>
      <c r="AC121" s="39"/>
      <c r="AD121" s="39"/>
      <c r="AE121" s="39"/>
    </row>
    <row r="122" spans="1:31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64"/>
      <c r="T122" s="5"/>
      <c r="U122" s="5"/>
      <c r="V122" s="5"/>
      <c r="W122" s="5"/>
      <c r="X122" s="5"/>
      <c r="Y122" s="5"/>
      <c r="Z122" s="5"/>
      <c r="AA122" s="39"/>
      <c r="AB122" s="39"/>
      <c r="AC122" s="39"/>
      <c r="AD122" s="39"/>
      <c r="AE122" s="39"/>
    </row>
    <row r="123" spans="1:31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64"/>
      <c r="T123" s="5"/>
      <c r="U123" s="5"/>
      <c r="V123" s="5"/>
      <c r="W123" s="5"/>
      <c r="X123" s="5"/>
      <c r="Y123" s="5"/>
      <c r="Z123" s="5"/>
      <c r="AA123" s="39"/>
      <c r="AB123" s="39"/>
      <c r="AC123" s="39"/>
      <c r="AD123" s="39"/>
      <c r="AE123" s="39"/>
    </row>
    <row r="124" spans="1:31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64"/>
      <c r="T124" s="5"/>
      <c r="U124" s="5"/>
      <c r="V124" s="5"/>
      <c r="W124" s="5"/>
      <c r="X124" s="5"/>
      <c r="Y124" s="5"/>
      <c r="Z124" s="5"/>
      <c r="AA124" s="39"/>
      <c r="AB124" s="39"/>
      <c r="AC124" s="39"/>
      <c r="AD124" s="39"/>
      <c r="AE124" s="39"/>
    </row>
    <row r="125" spans="1:31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64"/>
      <c r="T125" s="5"/>
      <c r="U125" s="5"/>
      <c r="V125" s="5"/>
      <c r="W125" s="5"/>
      <c r="X125" s="5"/>
      <c r="Y125" s="5"/>
      <c r="Z125" s="5"/>
      <c r="AA125" s="39"/>
      <c r="AB125" s="39"/>
      <c r="AC125" s="39"/>
      <c r="AD125" s="39"/>
      <c r="AE125" s="39"/>
    </row>
    <row r="126" spans="1:31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64"/>
      <c r="T126" s="5"/>
      <c r="U126" s="5"/>
      <c r="V126" s="5"/>
      <c r="W126" s="5"/>
      <c r="X126" s="5"/>
      <c r="Y126" s="5"/>
      <c r="Z126" s="5"/>
      <c r="AA126" s="39"/>
      <c r="AB126" s="39"/>
      <c r="AC126" s="39"/>
      <c r="AD126" s="39"/>
      <c r="AE126" s="39"/>
    </row>
    <row r="127" spans="1:31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64"/>
      <c r="T127" s="5"/>
      <c r="U127" s="5"/>
      <c r="V127" s="5"/>
      <c r="W127" s="5"/>
      <c r="X127" s="5"/>
      <c r="Y127" s="5"/>
      <c r="Z127" s="5"/>
      <c r="AA127" s="39"/>
      <c r="AB127" s="39"/>
      <c r="AC127" s="39"/>
      <c r="AD127" s="39"/>
      <c r="AE127" s="39"/>
    </row>
    <row r="128" spans="1:31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64"/>
      <c r="T128" s="5"/>
      <c r="U128" s="5"/>
      <c r="V128" s="5"/>
      <c r="W128" s="5"/>
      <c r="X128" s="5"/>
      <c r="Y128" s="5"/>
      <c r="Z128" s="5"/>
      <c r="AA128" s="39"/>
      <c r="AB128" s="39"/>
      <c r="AC128" s="39"/>
      <c r="AD128" s="39"/>
      <c r="AE128" s="39"/>
    </row>
    <row r="129" spans="1:31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64"/>
      <c r="T129" s="5"/>
      <c r="U129" s="5"/>
      <c r="V129" s="5"/>
      <c r="W129" s="5"/>
      <c r="X129" s="5"/>
      <c r="Y129" s="5"/>
      <c r="Z129" s="5"/>
      <c r="AA129" s="39"/>
      <c r="AB129" s="39"/>
      <c r="AC129" s="39"/>
      <c r="AD129" s="39"/>
      <c r="AE129" s="39"/>
    </row>
    <row r="130" spans="1:31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64"/>
      <c r="T130" s="5"/>
      <c r="U130" s="5"/>
      <c r="V130" s="5"/>
      <c r="W130" s="5"/>
      <c r="X130" s="5"/>
      <c r="Y130" s="5"/>
      <c r="Z130" s="5"/>
      <c r="AA130" s="39"/>
      <c r="AB130" s="39"/>
      <c r="AC130" s="39"/>
      <c r="AD130" s="39"/>
      <c r="AE130" s="39"/>
    </row>
    <row r="131" spans="1:31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64"/>
      <c r="T131" s="5"/>
      <c r="U131" s="5"/>
      <c r="V131" s="5"/>
      <c r="W131" s="5"/>
      <c r="X131" s="5"/>
      <c r="Y131" s="5"/>
      <c r="Z131" s="5"/>
      <c r="AA131" s="39"/>
      <c r="AB131" s="39"/>
      <c r="AC131" s="39"/>
      <c r="AD131" s="39"/>
      <c r="AE131" s="39"/>
    </row>
    <row r="132" spans="1:31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64"/>
      <c r="T132" s="5"/>
      <c r="U132" s="5"/>
      <c r="V132" s="5"/>
      <c r="W132" s="5"/>
      <c r="X132" s="5"/>
      <c r="Y132" s="5"/>
      <c r="Z132" s="5"/>
      <c r="AA132" s="39"/>
      <c r="AB132" s="39"/>
      <c r="AC132" s="39"/>
      <c r="AD132" s="39"/>
      <c r="AE132" s="39"/>
    </row>
    <row r="133" spans="1:31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64"/>
      <c r="T133" s="5"/>
      <c r="U133" s="5"/>
      <c r="V133" s="5"/>
      <c r="W133" s="5"/>
      <c r="X133" s="5"/>
      <c r="Y133" s="5"/>
      <c r="Z133" s="5"/>
      <c r="AA133" s="39"/>
      <c r="AB133" s="39"/>
      <c r="AC133" s="39"/>
      <c r="AD133" s="39"/>
      <c r="AE133" s="39"/>
    </row>
    <row r="134" spans="1:31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64"/>
      <c r="T134" s="5"/>
      <c r="U134" s="5"/>
      <c r="V134" s="5"/>
      <c r="W134" s="5"/>
      <c r="X134" s="5"/>
      <c r="Y134" s="5"/>
      <c r="Z134" s="5"/>
      <c r="AA134" s="39"/>
      <c r="AB134" s="39"/>
      <c r="AC134" s="39"/>
      <c r="AD134" s="39"/>
      <c r="AE134" s="39"/>
    </row>
    <row r="135" spans="1:31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64"/>
      <c r="T135" s="5"/>
      <c r="U135" s="5"/>
      <c r="V135" s="5"/>
      <c r="W135" s="5"/>
      <c r="X135" s="5"/>
      <c r="Y135" s="5"/>
      <c r="Z135" s="5"/>
      <c r="AA135" s="39"/>
      <c r="AB135" s="39"/>
      <c r="AC135" s="39"/>
      <c r="AD135" s="39"/>
      <c r="AE135" s="39"/>
    </row>
    <row r="136" spans="1:31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64"/>
      <c r="T136" s="5"/>
      <c r="U136" s="5"/>
      <c r="V136" s="5"/>
      <c r="W136" s="5"/>
      <c r="X136" s="5"/>
      <c r="Y136" s="5"/>
      <c r="Z136" s="5"/>
      <c r="AA136" s="39"/>
      <c r="AB136" s="39"/>
      <c r="AC136" s="39"/>
      <c r="AD136" s="39"/>
      <c r="AE136" s="39"/>
    </row>
    <row r="137" spans="1:31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64"/>
      <c r="T137" s="5"/>
      <c r="U137" s="5"/>
      <c r="V137" s="5"/>
      <c r="W137" s="5"/>
      <c r="X137" s="5"/>
      <c r="Y137" s="5"/>
      <c r="Z137" s="5"/>
      <c r="AA137" s="39"/>
      <c r="AB137" s="39"/>
      <c r="AC137" s="39"/>
      <c r="AD137" s="39"/>
      <c r="AE137" s="39"/>
    </row>
    <row r="138" spans="1:31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64"/>
      <c r="T138" s="5"/>
      <c r="U138" s="5"/>
      <c r="V138" s="5"/>
      <c r="W138" s="5"/>
      <c r="X138" s="5"/>
      <c r="Y138" s="5"/>
      <c r="Z138" s="5"/>
      <c r="AA138" s="39"/>
      <c r="AB138" s="39"/>
      <c r="AC138" s="39"/>
      <c r="AD138" s="39"/>
      <c r="AE138" s="39"/>
    </row>
    <row r="139" spans="1:31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64"/>
      <c r="T139" s="5"/>
      <c r="U139" s="5"/>
      <c r="V139" s="5"/>
      <c r="W139" s="5"/>
      <c r="X139" s="5"/>
      <c r="Y139" s="5"/>
      <c r="Z139" s="5"/>
      <c r="AA139" s="39"/>
      <c r="AB139" s="39"/>
      <c r="AC139" s="39"/>
      <c r="AD139" s="39"/>
      <c r="AE139" s="39"/>
    </row>
    <row r="140" spans="1:31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64"/>
      <c r="T140" s="5"/>
      <c r="U140" s="5"/>
      <c r="V140" s="5"/>
      <c r="W140" s="5"/>
      <c r="X140" s="5"/>
      <c r="Y140" s="5"/>
      <c r="Z140" s="5"/>
      <c r="AA140" s="39"/>
      <c r="AB140" s="39"/>
      <c r="AC140" s="39"/>
      <c r="AD140" s="39"/>
      <c r="AE140" s="39"/>
    </row>
    <row r="141" spans="1:31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64"/>
      <c r="T141" s="5"/>
      <c r="U141" s="5"/>
      <c r="V141" s="5"/>
      <c r="W141" s="5"/>
      <c r="X141" s="5"/>
      <c r="Y141" s="5"/>
      <c r="Z141" s="5"/>
      <c r="AA141" s="39"/>
      <c r="AB141" s="39"/>
      <c r="AC141" s="39"/>
      <c r="AD141" s="39"/>
      <c r="AE141" s="39"/>
    </row>
    <row r="142" spans="1:31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64"/>
      <c r="T142" s="5"/>
      <c r="U142" s="5"/>
      <c r="V142" s="5"/>
      <c r="W142" s="5"/>
      <c r="X142" s="5"/>
      <c r="Y142" s="5"/>
      <c r="Z142" s="5"/>
      <c r="AA142" s="39"/>
      <c r="AB142" s="39"/>
      <c r="AC142" s="39"/>
      <c r="AD142" s="39"/>
      <c r="AE142" s="39"/>
    </row>
    <row r="143" spans="1:31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64"/>
      <c r="T143" s="5"/>
      <c r="U143" s="5"/>
      <c r="V143" s="5"/>
      <c r="W143" s="5"/>
      <c r="X143" s="5"/>
      <c r="Y143" s="5"/>
      <c r="Z143" s="5"/>
      <c r="AA143" s="39"/>
      <c r="AB143" s="39"/>
      <c r="AC143" s="39"/>
      <c r="AD143" s="39"/>
      <c r="AE143" s="39"/>
    </row>
    <row r="144" spans="1:31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64"/>
      <c r="T144" s="5"/>
      <c r="U144" s="5"/>
      <c r="V144" s="5"/>
      <c r="W144" s="5"/>
      <c r="X144" s="5"/>
      <c r="Y144" s="5"/>
      <c r="Z144" s="5"/>
      <c r="AA144" s="39"/>
      <c r="AB144" s="39"/>
      <c r="AC144" s="39"/>
      <c r="AD144" s="39"/>
      <c r="AE144" s="39"/>
    </row>
    <row r="145" spans="1:31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64"/>
      <c r="T145" s="5"/>
      <c r="U145" s="5"/>
      <c r="V145" s="5"/>
      <c r="W145" s="5"/>
      <c r="X145" s="5"/>
      <c r="Y145" s="5"/>
      <c r="Z145" s="5"/>
      <c r="AA145" s="39"/>
      <c r="AB145" s="39"/>
      <c r="AC145" s="39"/>
      <c r="AD145" s="39"/>
      <c r="AE145" s="39"/>
    </row>
    <row r="146" spans="1:31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64"/>
      <c r="T146" s="5"/>
      <c r="U146" s="5"/>
      <c r="V146" s="5"/>
      <c r="W146" s="5"/>
      <c r="X146" s="5"/>
      <c r="Y146" s="5"/>
      <c r="Z146" s="5"/>
      <c r="AA146" s="39"/>
      <c r="AB146" s="39"/>
      <c r="AC146" s="39"/>
      <c r="AD146" s="39"/>
      <c r="AE146" s="39"/>
    </row>
    <row r="147" spans="1:31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64"/>
      <c r="T147" s="5"/>
      <c r="U147" s="5"/>
      <c r="V147" s="5"/>
      <c r="W147" s="5"/>
      <c r="X147" s="5"/>
      <c r="Y147" s="5"/>
      <c r="Z147" s="5"/>
      <c r="AA147" s="39"/>
      <c r="AB147" s="39"/>
      <c r="AC147" s="39"/>
      <c r="AD147" s="39"/>
      <c r="AE147" s="39"/>
    </row>
    <row r="148" spans="1:31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64"/>
      <c r="T148" s="5"/>
      <c r="U148" s="5"/>
      <c r="V148" s="5"/>
      <c r="W148" s="5"/>
      <c r="X148" s="5"/>
      <c r="Y148" s="5"/>
      <c r="Z148" s="5"/>
      <c r="AA148" s="39"/>
      <c r="AB148" s="39"/>
      <c r="AC148" s="39"/>
      <c r="AD148" s="39"/>
      <c r="AE148" s="39"/>
    </row>
    <row r="149" spans="1:31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64"/>
      <c r="T149" s="5"/>
      <c r="U149" s="5"/>
      <c r="V149" s="5"/>
      <c r="W149" s="5"/>
      <c r="X149" s="5"/>
      <c r="Y149" s="5"/>
      <c r="Z149" s="5"/>
      <c r="AA149" s="39"/>
      <c r="AB149" s="39"/>
      <c r="AC149" s="39"/>
      <c r="AD149" s="39"/>
      <c r="AE149" s="39"/>
    </row>
    <row r="150" spans="1:31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64"/>
      <c r="T150" s="5"/>
      <c r="U150" s="5"/>
      <c r="V150" s="5"/>
      <c r="W150" s="5"/>
      <c r="X150" s="5"/>
      <c r="Y150" s="5"/>
      <c r="Z150" s="5"/>
      <c r="AA150" s="39"/>
      <c r="AB150" s="39"/>
      <c r="AC150" s="39"/>
      <c r="AD150" s="39"/>
      <c r="AE150" s="39"/>
    </row>
    <row r="151" spans="1:31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64"/>
      <c r="T151" s="5"/>
      <c r="U151" s="5"/>
      <c r="V151" s="5"/>
      <c r="W151" s="5"/>
      <c r="X151" s="5"/>
      <c r="Y151" s="5"/>
      <c r="Z151" s="5"/>
      <c r="AA151" s="39"/>
      <c r="AB151" s="39"/>
      <c r="AC151" s="39"/>
      <c r="AD151" s="39"/>
      <c r="AE151" s="39"/>
    </row>
    <row r="152" spans="1:31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64"/>
      <c r="T152" s="5"/>
      <c r="U152" s="5"/>
      <c r="V152" s="5"/>
      <c r="W152" s="5"/>
      <c r="X152" s="5"/>
      <c r="Y152" s="5"/>
      <c r="Z152" s="5"/>
      <c r="AA152" s="39"/>
      <c r="AB152" s="39"/>
      <c r="AC152" s="39"/>
      <c r="AD152" s="39"/>
      <c r="AE152" s="39"/>
    </row>
    <row r="153" spans="1:31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64"/>
      <c r="T153" s="5"/>
      <c r="U153" s="5"/>
      <c r="V153" s="5"/>
      <c r="W153" s="5"/>
      <c r="X153" s="5"/>
      <c r="Y153" s="5"/>
      <c r="Z153" s="5"/>
      <c r="AA153" s="39"/>
      <c r="AB153" s="39"/>
      <c r="AC153" s="39"/>
      <c r="AD153" s="39"/>
      <c r="AE153" s="39"/>
    </row>
    <row r="154" spans="1:31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64"/>
      <c r="T154" s="5"/>
      <c r="U154" s="5"/>
      <c r="V154" s="5"/>
      <c r="W154" s="5"/>
      <c r="X154" s="5"/>
      <c r="Y154" s="5"/>
      <c r="Z154" s="5"/>
      <c r="AA154" s="39"/>
      <c r="AB154" s="39"/>
      <c r="AC154" s="39"/>
      <c r="AD154" s="39"/>
      <c r="AE154" s="39"/>
    </row>
    <row r="155" spans="1:31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64"/>
      <c r="T155" s="5"/>
      <c r="U155" s="5"/>
      <c r="V155" s="5"/>
      <c r="W155" s="5"/>
      <c r="X155" s="5"/>
      <c r="Y155" s="5"/>
      <c r="Z155" s="5"/>
      <c r="AA155" s="39"/>
      <c r="AB155" s="39"/>
      <c r="AC155" s="39"/>
      <c r="AD155" s="39"/>
      <c r="AE155" s="39"/>
    </row>
    <row r="156" spans="1:31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64"/>
      <c r="T156" s="5"/>
      <c r="U156" s="5"/>
      <c r="V156" s="5"/>
      <c r="W156" s="5"/>
      <c r="X156" s="5"/>
      <c r="Y156" s="5"/>
      <c r="Z156" s="5"/>
      <c r="AA156" s="39"/>
      <c r="AB156" s="39"/>
      <c r="AC156" s="39"/>
      <c r="AD156" s="39"/>
      <c r="AE156" s="39"/>
    </row>
    <row r="157" spans="1:31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64"/>
      <c r="T157" s="5"/>
      <c r="U157" s="5"/>
      <c r="V157" s="5"/>
      <c r="W157" s="5"/>
      <c r="X157" s="5"/>
      <c r="Y157" s="5"/>
      <c r="Z157" s="5"/>
      <c r="AA157" s="39"/>
      <c r="AB157" s="39"/>
      <c r="AC157" s="39"/>
      <c r="AD157" s="39"/>
      <c r="AE157" s="39"/>
    </row>
    <row r="158" spans="1:31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64"/>
      <c r="T158" s="5"/>
      <c r="U158" s="5"/>
      <c r="V158" s="5"/>
      <c r="W158" s="5"/>
      <c r="X158" s="5"/>
      <c r="Y158" s="5"/>
      <c r="Z158" s="5"/>
      <c r="AA158" s="39"/>
      <c r="AB158" s="39"/>
      <c r="AC158" s="39"/>
      <c r="AD158" s="39"/>
      <c r="AE158" s="39"/>
    </row>
    <row r="159" spans="1:31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64"/>
      <c r="T159" s="5"/>
      <c r="U159" s="5"/>
      <c r="V159" s="5"/>
      <c r="W159" s="5"/>
      <c r="X159" s="5"/>
      <c r="Y159" s="5"/>
      <c r="Z159" s="5"/>
      <c r="AA159" s="39"/>
      <c r="AB159" s="39"/>
      <c r="AC159" s="39"/>
      <c r="AD159" s="39"/>
      <c r="AE159" s="39"/>
    </row>
    <row r="160" spans="1:31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64"/>
      <c r="T160" s="5"/>
      <c r="U160" s="5"/>
      <c r="V160" s="5"/>
      <c r="W160" s="5"/>
      <c r="X160" s="5"/>
      <c r="Y160" s="5"/>
      <c r="Z160" s="5"/>
      <c r="AA160" s="39"/>
      <c r="AB160" s="39"/>
      <c r="AC160" s="39"/>
      <c r="AD160" s="39"/>
      <c r="AE160" s="39"/>
    </row>
    <row r="161" spans="1:31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64"/>
      <c r="T161" s="5"/>
      <c r="U161" s="5"/>
      <c r="V161" s="5"/>
      <c r="W161" s="5"/>
      <c r="X161" s="5"/>
      <c r="Y161" s="5"/>
      <c r="Z161" s="5"/>
      <c r="AA161" s="39"/>
      <c r="AB161" s="39"/>
      <c r="AC161" s="39"/>
      <c r="AD161" s="39"/>
      <c r="AE161" s="39"/>
    </row>
    <row r="162" spans="1:31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64"/>
      <c r="T162" s="5"/>
      <c r="U162" s="5"/>
      <c r="V162" s="5"/>
      <c r="W162" s="5"/>
      <c r="X162" s="5"/>
      <c r="Y162" s="5"/>
      <c r="Z162" s="5"/>
      <c r="AA162" s="39"/>
      <c r="AB162" s="39"/>
      <c r="AC162" s="39"/>
      <c r="AD162" s="39"/>
      <c r="AE162" s="39"/>
    </row>
    <row r="163" spans="1:31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64"/>
      <c r="T163" s="5"/>
      <c r="U163" s="5"/>
      <c r="V163" s="5"/>
      <c r="W163" s="5"/>
      <c r="X163" s="5"/>
      <c r="Y163" s="5"/>
      <c r="Z163" s="5"/>
      <c r="AA163" s="39"/>
      <c r="AB163" s="39"/>
      <c r="AC163" s="39"/>
      <c r="AD163" s="39"/>
      <c r="AE163" s="39"/>
    </row>
    <row r="164" spans="1:31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64"/>
      <c r="T164" s="5"/>
      <c r="U164" s="5"/>
      <c r="V164" s="5"/>
      <c r="W164" s="5"/>
      <c r="X164" s="5"/>
      <c r="Y164" s="5"/>
      <c r="Z164" s="5"/>
      <c r="AA164" s="39"/>
      <c r="AB164" s="39"/>
      <c r="AC164" s="39"/>
      <c r="AD164" s="39"/>
      <c r="AE164" s="39"/>
    </row>
    <row r="165" spans="1:31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64"/>
      <c r="T165" s="5"/>
      <c r="U165" s="5"/>
      <c r="V165" s="5"/>
      <c r="W165" s="5"/>
      <c r="X165" s="5"/>
      <c r="Y165" s="5"/>
      <c r="Z165" s="5"/>
      <c r="AA165" s="39"/>
      <c r="AB165" s="39"/>
      <c r="AC165" s="39"/>
      <c r="AD165" s="39"/>
      <c r="AE165" s="39"/>
    </row>
    <row r="166" spans="1:31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64"/>
      <c r="T166" s="5"/>
      <c r="U166" s="5"/>
      <c r="V166" s="5"/>
      <c r="W166" s="5"/>
      <c r="X166" s="5"/>
      <c r="Y166" s="5"/>
      <c r="Z166" s="5"/>
      <c r="AA166" s="39"/>
      <c r="AB166" s="39"/>
      <c r="AC166" s="39"/>
      <c r="AD166" s="39"/>
      <c r="AE166" s="39"/>
    </row>
    <row r="167" spans="1:31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64"/>
      <c r="T167" s="5"/>
      <c r="U167" s="5"/>
      <c r="V167" s="5"/>
      <c r="W167" s="5"/>
      <c r="X167" s="5"/>
      <c r="Y167" s="5"/>
      <c r="Z167" s="5"/>
      <c r="AA167" s="39"/>
      <c r="AB167" s="39"/>
      <c r="AC167" s="39"/>
      <c r="AD167" s="39"/>
      <c r="AE167" s="39"/>
    </row>
    <row r="168" spans="1:31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64"/>
      <c r="T168" s="5"/>
      <c r="U168" s="5"/>
      <c r="V168" s="5"/>
      <c r="W168" s="5"/>
      <c r="X168" s="5"/>
      <c r="Y168" s="5"/>
      <c r="Z168" s="5"/>
      <c r="AA168" s="39"/>
      <c r="AB168" s="39"/>
      <c r="AC168" s="39"/>
      <c r="AD168" s="39"/>
      <c r="AE168" s="39"/>
    </row>
    <row r="169" spans="1:31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64"/>
      <c r="T169" s="5"/>
      <c r="U169" s="5"/>
      <c r="V169" s="5"/>
      <c r="W169" s="5"/>
      <c r="X169" s="5"/>
      <c r="Y169" s="5"/>
      <c r="Z169" s="5"/>
      <c r="AA169" s="39"/>
      <c r="AB169" s="39"/>
      <c r="AC169" s="39"/>
      <c r="AD169" s="39"/>
      <c r="AE169" s="39"/>
    </row>
    <row r="170" spans="1:31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64"/>
      <c r="T170" s="5"/>
      <c r="U170" s="5"/>
      <c r="V170" s="5"/>
      <c r="W170" s="5"/>
      <c r="X170" s="5"/>
      <c r="Y170" s="5"/>
      <c r="Z170" s="5"/>
      <c r="AA170" s="39"/>
      <c r="AB170" s="39"/>
      <c r="AC170" s="39"/>
      <c r="AD170" s="39"/>
      <c r="AE170" s="39"/>
    </row>
    <row r="171" spans="1:31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64"/>
      <c r="T171" s="5"/>
      <c r="U171" s="5"/>
      <c r="V171" s="5"/>
      <c r="W171" s="5"/>
      <c r="X171" s="5"/>
      <c r="Y171" s="5"/>
      <c r="Z171" s="5"/>
      <c r="AA171" s="39"/>
      <c r="AB171" s="39"/>
      <c r="AC171" s="39"/>
      <c r="AD171" s="39"/>
      <c r="AE171" s="39"/>
    </row>
    <row r="172" spans="1:31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64"/>
      <c r="T172" s="5"/>
      <c r="U172" s="5"/>
      <c r="V172" s="5"/>
      <c r="W172" s="5"/>
      <c r="X172" s="5"/>
      <c r="Y172" s="5"/>
      <c r="Z172" s="5"/>
      <c r="AA172" s="39"/>
      <c r="AB172" s="39"/>
      <c r="AC172" s="39"/>
      <c r="AD172" s="39"/>
      <c r="AE172" s="39"/>
    </row>
    <row r="173" spans="1:31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64"/>
      <c r="T173" s="5"/>
      <c r="U173" s="5"/>
      <c r="V173" s="5"/>
      <c r="W173" s="5"/>
      <c r="X173" s="5"/>
      <c r="Y173" s="5"/>
      <c r="Z173" s="5"/>
      <c r="AA173" s="39"/>
      <c r="AB173" s="39"/>
      <c r="AC173" s="39"/>
      <c r="AD173" s="39"/>
      <c r="AE173" s="39"/>
    </row>
    <row r="174" spans="1:31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64"/>
      <c r="T174" s="5"/>
      <c r="U174" s="5"/>
      <c r="V174" s="5"/>
      <c r="W174" s="5"/>
      <c r="X174" s="5"/>
      <c r="Y174" s="5"/>
      <c r="Z174" s="5"/>
      <c r="AA174" s="39"/>
      <c r="AB174" s="39"/>
      <c r="AC174" s="39"/>
      <c r="AD174" s="39"/>
      <c r="AE174" s="39"/>
    </row>
    <row r="175" spans="1:31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64"/>
      <c r="T175" s="5"/>
      <c r="U175" s="5"/>
      <c r="V175" s="5"/>
      <c r="W175" s="5"/>
      <c r="X175" s="5"/>
      <c r="Y175" s="5"/>
      <c r="Z175" s="5"/>
      <c r="AA175" s="39"/>
      <c r="AB175" s="39"/>
      <c r="AC175" s="39"/>
      <c r="AD175" s="39"/>
      <c r="AE175" s="39"/>
    </row>
    <row r="176" spans="1:31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64"/>
      <c r="T176" s="5"/>
      <c r="U176" s="5"/>
      <c r="V176" s="5"/>
      <c r="W176" s="5"/>
      <c r="X176" s="5"/>
      <c r="Y176" s="5"/>
      <c r="Z176" s="5"/>
      <c r="AA176" s="39"/>
      <c r="AB176" s="39"/>
      <c r="AC176" s="39"/>
      <c r="AD176" s="39"/>
      <c r="AE176" s="39"/>
    </row>
    <row r="177" spans="1:31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64"/>
      <c r="T177" s="5"/>
      <c r="U177" s="5"/>
      <c r="V177" s="5"/>
      <c r="W177" s="5"/>
      <c r="X177" s="5"/>
      <c r="Y177" s="5"/>
      <c r="Z177" s="5"/>
      <c r="AA177" s="39"/>
      <c r="AB177" s="39"/>
      <c r="AC177" s="39"/>
      <c r="AD177" s="39"/>
      <c r="AE177" s="39"/>
    </row>
    <row r="178" spans="1:31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64"/>
      <c r="T178" s="5"/>
      <c r="U178" s="5"/>
      <c r="V178" s="5"/>
      <c r="W178" s="5"/>
      <c r="X178" s="5"/>
      <c r="Y178" s="5"/>
      <c r="Z178" s="5"/>
      <c r="AA178" s="39"/>
      <c r="AB178" s="39"/>
      <c r="AC178" s="39"/>
      <c r="AD178" s="39"/>
      <c r="AE178" s="39"/>
    </row>
    <row r="179" spans="1:31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64"/>
      <c r="T179" s="5"/>
      <c r="U179" s="5"/>
      <c r="V179" s="5"/>
      <c r="W179" s="5"/>
      <c r="X179" s="5"/>
      <c r="Y179" s="5"/>
      <c r="Z179" s="5"/>
      <c r="AA179" s="39"/>
      <c r="AB179" s="39"/>
      <c r="AC179" s="39"/>
      <c r="AD179" s="39"/>
      <c r="AE179" s="39"/>
    </row>
    <row r="180" spans="1:31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64"/>
      <c r="T180" s="5"/>
      <c r="U180" s="5"/>
      <c r="V180" s="5"/>
      <c r="W180" s="5"/>
      <c r="X180" s="5"/>
      <c r="Y180" s="5"/>
      <c r="Z180" s="5"/>
      <c r="AA180" s="39"/>
      <c r="AB180" s="39"/>
      <c r="AC180" s="39"/>
      <c r="AD180" s="39"/>
      <c r="AE180" s="39"/>
    </row>
    <row r="181" spans="1:31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64"/>
      <c r="T181" s="5"/>
      <c r="U181" s="5"/>
      <c r="V181" s="5"/>
      <c r="W181" s="5"/>
      <c r="X181" s="5"/>
      <c r="Y181" s="5"/>
      <c r="Z181" s="5"/>
      <c r="AA181" s="39"/>
      <c r="AB181" s="39"/>
      <c r="AC181" s="39"/>
      <c r="AD181" s="39"/>
      <c r="AE181" s="39"/>
    </row>
    <row r="182" spans="1:31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64"/>
      <c r="T182" s="5"/>
      <c r="U182" s="5"/>
      <c r="V182" s="5"/>
      <c r="W182" s="5"/>
      <c r="X182" s="5"/>
      <c r="Y182" s="5"/>
      <c r="Z182" s="5"/>
      <c r="AA182" s="39"/>
      <c r="AB182" s="39"/>
      <c r="AC182" s="39"/>
      <c r="AD182" s="39"/>
      <c r="AE182" s="39"/>
    </row>
    <row r="183" spans="1:31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64"/>
      <c r="T183" s="5"/>
      <c r="U183" s="5"/>
      <c r="V183" s="5"/>
      <c r="W183" s="5"/>
      <c r="X183" s="5"/>
      <c r="Y183" s="5"/>
      <c r="Z183" s="5"/>
      <c r="AA183" s="39"/>
      <c r="AB183" s="39"/>
      <c r="AC183" s="39"/>
      <c r="AD183" s="39"/>
      <c r="AE183" s="39"/>
    </row>
    <row r="184" spans="1:31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64"/>
      <c r="T184" s="5"/>
      <c r="U184" s="5"/>
      <c r="V184" s="5"/>
      <c r="W184" s="5"/>
      <c r="X184" s="5"/>
      <c r="Y184" s="5"/>
      <c r="Z184" s="5"/>
      <c r="AA184" s="39"/>
      <c r="AB184" s="39"/>
      <c r="AC184" s="39"/>
      <c r="AD184" s="39"/>
      <c r="AE184" s="39"/>
    </row>
    <row r="185" spans="1:31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64"/>
      <c r="T185" s="5"/>
      <c r="U185" s="5"/>
      <c r="V185" s="5"/>
      <c r="W185" s="5"/>
      <c r="X185" s="5"/>
      <c r="Y185" s="5"/>
      <c r="Z185" s="5"/>
      <c r="AA185" s="39"/>
      <c r="AB185" s="39"/>
      <c r="AC185" s="39"/>
      <c r="AD185" s="39"/>
      <c r="AE185" s="39"/>
    </row>
    <row r="186" spans="1:31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64"/>
      <c r="T186" s="5"/>
      <c r="U186" s="5"/>
      <c r="V186" s="5"/>
      <c r="W186" s="5"/>
      <c r="X186" s="5"/>
      <c r="Y186" s="5"/>
      <c r="Z186" s="5"/>
      <c r="AA186" s="39"/>
      <c r="AB186" s="39"/>
      <c r="AC186" s="39"/>
      <c r="AD186" s="39"/>
      <c r="AE186" s="39"/>
    </row>
    <row r="187" spans="1:31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64"/>
      <c r="T187" s="5"/>
      <c r="U187" s="5"/>
      <c r="V187" s="5"/>
      <c r="W187" s="5"/>
      <c r="X187" s="5"/>
      <c r="Y187" s="5"/>
      <c r="Z187" s="5"/>
      <c r="AA187" s="39"/>
      <c r="AB187" s="39"/>
      <c r="AC187" s="39"/>
      <c r="AD187" s="39"/>
      <c r="AE187" s="39"/>
    </row>
    <row r="188" spans="1:31" x14ac:dyDescent="0.2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64"/>
      <c r="T188" s="5"/>
      <c r="U188" s="5"/>
      <c r="V188" s="5"/>
      <c r="W188" s="5"/>
      <c r="X188" s="5"/>
      <c r="Y188" s="5"/>
      <c r="Z188" s="5"/>
      <c r="AA188" s="39"/>
      <c r="AB188" s="39"/>
      <c r="AC188" s="39"/>
      <c r="AD188" s="39"/>
      <c r="AE188" s="39"/>
    </row>
    <row r="189" spans="1:31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64"/>
      <c r="T189" s="5"/>
      <c r="U189" s="5"/>
      <c r="V189" s="5"/>
      <c r="W189" s="5"/>
      <c r="X189" s="5"/>
      <c r="Y189" s="5"/>
      <c r="Z189" s="5"/>
      <c r="AA189" s="39"/>
      <c r="AB189" s="39"/>
      <c r="AC189" s="39"/>
      <c r="AD189" s="39"/>
      <c r="AE189" s="39"/>
    </row>
    <row r="190" spans="1:31" x14ac:dyDescent="0.2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64"/>
      <c r="T190" s="5"/>
      <c r="U190" s="5"/>
      <c r="V190" s="5"/>
      <c r="W190" s="5"/>
      <c r="X190" s="5"/>
      <c r="Y190" s="5"/>
      <c r="Z190" s="5"/>
      <c r="AA190" s="39"/>
      <c r="AB190" s="39"/>
      <c r="AC190" s="39"/>
      <c r="AD190" s="39"/>
      <c r="AE190" s="39"/>
    </row>
    <row r="191" spans="1:31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64"/>
      <c r="T191" s="5"/>
      <c r="U191" s="5"/>
      <c r="V191" s="5"/>
      <c r="W191" s="5"/>
      <c r="X191" s="5"/>
      <c r="Y191" s="5"/>
      <c r="Z191" s="5"/>
      <c r="AA191" s="39"/>
      <c r="AB191" s="39"/>
      <c r="AC191" s="39"/>
      <c r="AD191" s="39"/>
      <c r="AE191" s="39"/>
    </row>
    <row r="192" spans="1:31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64"/>
      <c r="T192" s="5"/>
      <c r="U192" s="5"/>
      <c r="V192" s="5"/>
      <c r="W192" s="5"/>
      <c r="X192" s="5"/>
      <c r="Y192" s="5"/>
      <c r="Z192" s="5"/>
      <c r="AA192" s="39"/>
      <c r="AB192" s="39"/>
      <c r="AC192" s="39"/>
      <c r="AD192" s="39"/>
      <c r="AE192" s="39"/>
    </row>
    <row r="193" spans="1:31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64"/>
      <c r="T193" s="5"/>
      <c r="U193" s="5"/>
      <c r="V193" s="5"/>
      <c r="W193" s="5"/>
      <c r="X193" s="5"/>
      <c r="Y193" s="5"/>
      <c r="Z193" s="5"/>
      <c r="AA193" s="39"/>
      <c r="AB193" s="39"/>
      <c r="AC193" s="39"/>
      <c r="AD193" s="39"/>
      <c r="AE193" s="39"/>
    </row>
    <row r="194" spans="1:31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64"/>
      <c r="T194" s="5"/>
      <c r="U194" s="5"/>
      <c r="V194" s="5"/>
      <c r="W194" s="5"/>
      <c r="X194" s="5"/>
      <c r="Y194" s="5"/>
      <c r="Z194" s="5"/>
      <c r="AA194" s="39"/>
      <c r="AB194" s="39"/>
      <c r="AC194" s="39"/>
      <c r="AD194" s="39"/>
      <c r="AE194" s="39"/>
    </row>
    <row r="195" spans="1:31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64"/>
      <c r="T195" s="5"/>
      <c r="U195" s="5"/>
      <c r="V195" s="5"/>
      <c r="W195" s="5"/>
      <c r="X195" s="5"/>
      <c r="Y195" s="5"/>
      <c r="Z195" s="5"/>
      <c r="AA195" s="39"/>
      <c r="AB195" s="39"/>
      <c r="AC195" s="39"/>
      <c r="AD195" s="39"/>
      <c r="AE195" s="39"/>
    </row>
    <row r="196" spans="1:31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64"/>
      <c r="T196" s="5"/>
      <c r="U196" s="5"/>
      <c r="V196" s="5"/>
      <c r="W196" s="5"/>
      <c r="X196" s="5"/>
      <c r="Y196" s="5"/>
      <c r="Z196" s="5"/>
      <c r="AA196" s="39"/>
      <c r="AB196" s="39"/>
      <c r="AC196" s="39"/>
      <c r="AD196" s="39"/>
      <c r="AE196" s="39"/>
    </row>
    <row r="197" spans="1:31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64"/>
      <c r="T197" s="5"/>
      <c r="U197" s="5"/>
      <c r="V197" s="5"/>
      <c r="W197" s="5"/>
      <c r="X197" s="5"/>
      <c r="Y197" s="5"/>
      <c r="Z197" s="5"/>
      <c r="AA197" s="39"/>
      <c r="AB197" s="39"/>
      <c r="AC197" s="39"/>
      <c r="AD197" s="39"/>
      <c r="AE197" s="39"/>
    </row>
    <row r="198" spans="1:31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64"/>
      <c r="T198" s="5"/>
      <c r="U198" s="5"/>
      <c r="V198" s="5"/>
      <c r="W198" s="5"/>
      <c r="X198" s="5"/>
      <c r="Y198" s="5"/>
      <c r="Z198" s="5"/>
      <c r="AA198" s="39"/>
      <c r="AB198" s="39"/>
      <c r="AC198" s="39"/>
      <c r="AD198" s="39"/>
      <c r="AE198" s="39"/>
    </row>
    <row r="199" spans="1:31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64"/>
      <c r="T199" s="5"/>
      <c r="U199" s="5"/>
      <c r="V199" s="5"/>
      <c r="W199" s="5"/>
      <c r="X199" s="5"/>
      <c r="Y199" s="5"/>
      <c r="Z199" s="5"/>
      <c r="AA199" s="39"/>
      <c r="AB199" s="39"/>
      <c r="AC199" s="39"/>
      <c r="AD199" s="39"/>
      <c r="AE199" s="39"/>
    </row>
    <row r="200" spans="1:31" x14ac:dyDescent="0.2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64"/>
      <c r="T200" s="5"/>
      <c r="U200" s="5"/>
      <c r="V200" s="5"/>
      <c r="W200" s="5"/>
      <c r="X200" s="5"/>
      <c r="Y200" s="5"/>
      <c r="Z200" s="5"/>
      <c r="AA200" s="39"/>
      <c r="AB200" s="39"/>
      <c r="AC200" s="39"/>
      <c r="AD200" s="39"/>
      <c r="AE200" s="39"/>
    </row>
    <row r="201" spans="1:31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64"/>
      <c r="T201" s="5"/>
      <c r="U201" s="5"/>
      <c r="V201" s="5"/>
      <c r="W201" s="5"/>
      <c r="X201" s="5"/>
      <c r="Y201" s="5"/>
      <c r="Z201" s="5"/>
      <c r="AA201" s="39"/>
      <c r="AB201" s="39"/>
      <c r="AC201" s="39"/>
      <c r="AD201" s="39"/>
      <c r="AE201" s="39"/>
    </row>
    <row r="202" spans="1:31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64"/>
      <c r="T202" s="5"/>
      <c r="U202" s="5"/>
      <c r="V202" s="5"/>
      <c r="W202" s="5"/>
      <c r="X202" s="5"/>
      <c r="Y202" s="5"/>
      <c r="Z202" s="5"/>
      <c r="AA202" s="39"/>
      <c r="AB202" s="39"/>
      <c r="AC202" s="39"/>
      <c r="AD202" s="39"/>
      <c r="AE202" s="39"/>
    </row>
    <row r="203" spans="1:31" x14ac:dyDescent="0.2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64"/>
      <c r="T203" s="5"/>
      <c r="U203" s="5"/>
      <c r="V203" s="5"/>
      <c r="W203" s="5"/>
      <c r="X203" s="5"/>
      <c r="Y203" s="5"/>
      <c r="Z203" s="5"/>
      <c r="AA203" s="39"/>
      <c r="AB203" s="39"/>
      <c r="AC203" s="39"/>
      <c r="AD203" s="39"/>
      <c r="AE203" s="39"/>
    </row>
    <row r="204" spans="1:31" x14ac:dyDescent="0.2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64"/>
      <c r="T204" s="5"/>
      <c r="U204" s="5"/>
      <c r="V204" s="5"/>
      <c r="W204" s="5"/>
      <c r="X204" s="5"/>
      <c r="Y204" s="5"/>
      <c r="Z204" s="5"/>
      <c r="AA204" s="39"/>
      <c r="AB204" s="39"/>
      <c r="AC204" s="39"/>
      <c r="AD204" s="39"/>
      <c r="AE204" s="39"/>
    </row>
    <row r="205" spans="1:31" x14ac:dyDescent="0.2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64"/>
      <c r="T205" s="5"/>
      <c r="U205" s="5"/>
      <c r="V205" s="5"/>
      <c r="W205" s="5"/>
      <c r="X205" s="5"/>
      <c r="Y205" s="5"/>
      <c r="Z205" s="5"/>
      <c r="AA205" s="39"/>
      <c r="AB205" s="39"/>
      <c r="AC205" s="39"/>
      <c r="AD205" s="39"/>
      <c r="AE205" s="39"/>
    </row>
    <row r="206" spans="1:31" x14ac:dyDescent="0.2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64"/>
      <c r="T206" s="5"/>
      <c r="U206" s="5"/>
      <c r="V206" s="5"/>
      <c r="W206" s="5"/>
      <c r="X206" s="5"/>
      <c r="Y206" s="5"/>
      <c r="Z206" s="5"/>
      <c r="AA206" s="39"/>
      <c r="AB206" s="39"/>
      <c r="AC206" s="39"/>
      <c r="AD206" s="39"/>
      <c r="AE206" s="39"/>
    </row>
    <row r="207" spans="1:31" x14ac:dyDescent="0.2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64"/>
      <c r="T207" s="5"/>
      <c r="U207" s="5"/>
      <c r="V207" s="5"/>
      <c r="W207" s="5"/>
      <c r="X207" s="5"/>
      <c r="Y207" s="5"/>
      <c r="Z207" s="5"/>
      <c r="AA207" s="39"/>
      <c r="AB207" s="39"/>
      <c r="AC207" s="39"/>
      <c r="AD207" s="39"/>
      <c r="AE207" s="39"/>
    </row>
    <row r="208" spans="1:31" x14ac:dyDescent="0.25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64"/>
      <c r="T208" s="5"/>
      <c r="U208" s="5"/>
      <c r="V208" s="5"/>
      <c r="W208" s="5"/>
      <c r="X208" s="5"/>
      <c r="Y208" s="5"/>
      <c r="Z208" s="5"/>
      <c r="AA208" s="39"/>
      <c r="AB208" s="39"/>
      <c r="AC208" s="39"/>
      <c r="AD208" s="39"/>
      <c r="AE208" s="39"/>
    </row>
    <row r="209" spans="1:31" x14ac:dyDescent="0.25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64"/>
      <c r="T209" s="5"/>
      <c r="U209" s="5"/>
      <c r="V209" s="5"/>
      <c r="W209" s="5"/>
      <c r="X209" s="5"/>
      <c r="Y209" s="5"/>
      <c r="Z209" s="5"/>
      <c r="AA209" s="39"/>
      <c r="AB209" s="39"/>
      <c r="AC209" s="39"/>
      <c r="AD209" s="39"/>
      <c r="AE209" s="39"/>
    </row>
    <row r="210" spans="1:31" x14ac:dyDescent="0.25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64"/>
      <c r="T210" s="5"/>
      <c r="U210" s="5"/>
      <c r="V210" s="5"/>
      <c r="W210" s="5"/>
      <c r="X210" s="5"/>
      <c r="Y210" s="5"/>
      <c r="Z210" s="5"/>
      <c r="AA210" s="39"/>
      <c r="AB210" s="39"/>
      <c r="AC210" s="39"/>
      <c r="AD210" s="39"/>
      <c r="AE210" s="39"/>
    </row>
    <row r="211" spans="1:31" x14ac:dyDescent="0.25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64"/>
      <c r="T211" s="5"/>
      <c r="U211" s="5"/>
      <c r="V211" s="5"/>
      <c r="W211" s="5"/>
      <c r="X211" s="5"/>
      <c r="Y211" s="5"/>
      <c r="Z211" s="5"/>
      <c r="AA211" s="39"/>
      <c r="AB211" s="39"/>
      <c r="AC211" s="39"/>
      <c r="AD211" s="39"/>
      <c r="AE211" s="39"/>
    </row>
    <row r="212" spans="1:31" x14ac:dyDescent="0.25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64"/>
      <c r="T212" s="5"/>
      <c r="U212" s="5"/>
      <c r="V212" s="5"/>
      <c r="W212" s="5"/>
      <c r="X212" s="5"/>
      <c r="Y212" s="5"/>
      <c r="Z212" s="5"/>
      <c r="AA212" s="39"/>
      <c r="AB212" s="39"/>
      <c r="AC212" s="39"/>
      <c r="AD212" s="39"/>
      <c r="AE212" s="39"/>
    </row>
    <row r="213" spans="1:31" x14ac:dyDescent="0.25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64"/>
      <c r="T213" s="5"/>
      <c r="U213" s="5"/>
      <c r="V213" s="5"/>
      <c r="W213" s="5"/>
      <c r="X213" s="5"/>
      <c r="Y213" s="5"/>
      <c r="Z213" s="5"/>
      <c r="AA213" s="39"/>
      <c r="AB213" s="39"/>
      <c r="AC213" s="39"/>
      <c r="AD213" s="39"/>
      <c r="AE213" s="39"/>
    </row>
    <row r="214" spans="1:31" x14ac:dyDescent="0.25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64"/>
      <c r="T214" s="5"/>
      <c r="U214" s="5"/>
      <c r="V214" s="5"/>
      <c r="W214" s="5"/>
      <c r="X214" s="5"/>
      <c r="Y214" s="5"/>
      <c r="Z214" s="5"/>
      <c r="AA214" s="39"/>
      <c r="AB214" s="39"/>
      <c r="AC214" s="39"/>
      <c r="AD214" s="39"/>
      <c r="AE214" s="39"/>
    </row>
    <row r="215" spans="1:31" x14ac:dyDescent="0.25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64"/>
      <c r="T215" s="5"/>
      <c r="U215" s="5"/>
      <c r="V215" s="5"/>
      <c r="W215" s="5"/>
      <c r="X215" s="5"/>
      <c r="Y215" s="5"/>
      <c r="Z215" s="5"/>
      <c r="AA215" s="39"/>
      <c r="AB215" s="39"/>
      <c r="AC215" s="39"/>
      <c r="AD215" s="39"/>
      <c r="AE215" s="39"/>
    </row>
    <row r="216" spans="1:31" x14ac:dyDescent="0.25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64"/>
      <c r="T216" s="5"/>
      <c r="U216" s="5"/>
      <c r="V216" s="5"/>
      <c r="W216" s="5"/>
      <c r="X216" s="5"/>
      <c r="Y216" s="5"/>
      <c r="Z216" s="5"/>
      <c r="AA216" s="39"/>
      <c r="AB216" s="39"/>
      <c r="AC216" s="39"/>
      <c r="AD216" s="39"/>
      <c r="AE216" s="39"/>
    </row>
    <row r="217" spans="1:31" x14ac:dyDescent="0.25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64"/>
      <c r="T217" s="5"/>
      <c r="U217" s="5"/>
      <c r="V217" s="5"/>
      <c r="W217" s="5"/>
      <c r="X217" s="5"/>
      <c r="Y217" s="5"/>
      <c r="Z217" s="5"/>
      <c r="AA217" s="39"/>
      <c r="AB217" s="39"/>
      <c r="AC217" s="39"/>
      <c r="AD217" s="39"/>
      <c r="AE217" s="39"/>
    </row>
    <row r="218" spans="1:31" x14ac:dyDescent="0.25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64"/>
      <c r="T218" s="5"/>
      <c r="U218" s="5"/>
      <c r="V218" s="5"/>
      <c r="W218" s="5"/>
      <c r="X218" s="5"/>
      <c r="Y218" s="5"/>
      <c r="Z218" s="5"/>
      <c r="AA218" s="39"/>
      <c r="AB218" s="39"/>
      <c r="AC218" s="39"/>
      <c r="AD218" s="39"/>
      <c r="AE218" s="39"/>
    </row>
    <row r="219" spans="1:31" x14ac:dyDescent="0.25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64"/>
      <c r="T219" s="5"/>
      <c r="U219" s="5"/>
      <c r="V219" s="5"/>
      <c r="W219" s="5"/>
      <c r="X219" s="5"/>
      <c r="Y219" s="5"/>
      <c r="Z219" s="5"/>
      <c r="AA219" s="39"/>
      <c r="AB219" s="39"/>
      <c r="AC219" s="39"/>
      <c r="AD219" s="39"/>
      <c r="AE219" s="39"/>
    </row>
    <row r="220" spans="1:31" x14ac:dyDescent="0.25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64"/>
      <c r="T220" s="5"/>
      <c r="U220" s="5"/>
      <c r="V220" s="5"/>
      <c r="W220" s="5"/>
      <c r="X220" s="5"/>
      <c r="Y220" s="5"/>
      <c r="Z220" s="5"/>
      <c r="AA220" s="39"/>
      <c r="AB220" s="39"/>
      <c r="AC220" s="39"/>
      <c r="AD220" s="39"/>
      <c r="AE220" s="39"/>
    </row>
    <row r="221" spans="1:31" x14ac:dyDescent="0.25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64"/>
      <c r="T221" s="5"/>
      <c r="U221" s="5"/>
      <c r="V221" s="5"/>
      <c r="W221" s="5"/>
      <c r="X221" s="5"/>
      <c r="Y221" s="5"/>
      <c r="Z221" s="5"/>
      <c r="AA221" s="39"/>
      <c r="AB221" s="39"/>
      <c r="AC221" s="39"/>
      <c r="AD221" s="39"/>
      <c r="AE221" s="39"/>
    </row>
    <row r="222" spans="1:31" x14ac:dyDescent="0.2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64"/>
      <c r="T222" s="5"/>
      <c r="U222" s="5"/>
      <c r="V222" s="5"/>
      <c r="W222" s="5"/>
      <c r="X222" s="5"/>
      <c r="Y222" s="5"/>
      <c r="Z222" s="5"/>
      <c r="AA222" s="39"/>
      <c r="AB222" s="39"/>
      <c r="AC222" s="39"/>
      <c r="AD222" s="39"/>
      <c r="AE222" s="39"/>
    </row>
    <row r="223" spans="1:31" x14ac:dyDescent="0.2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64"/>
      <c r="T223" s="5"/>
      <c r="U223" s="5"/>
      <c r="V223" s="5"/>
      <c r="W223" s="5"/>
      <c r="X223" s="5"/>
      <c r="Y223" s="5"/>
      <c r="Z223" s="5"/>
      <c r="AA223" s="39"/>
      <c r="AB223" s="39"/>
      <c r="AC223" s="39"/>
      <c r="AD223" s="39"/>
      <c r="AE223" s="39"/>
    </row>
    <row r="224" spans="1:31" x14ac:dyDescent="0.2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64"/>
      <c r="T224" s="5"/>
      <c r="U224" s="5"/>
      <c r="V224" s="5"/>
      <c r="W224" s="5"/>
      <c r="X224" s="5"/>
      <c r="Y224" s="5"/>
      <c r="Z224" s="5"/>
      <c r="AA224" s="39"/>
      <c r="AB224" s="39"/>
      <c r="AC224" s="39"/>
      <c r="AD224" s="39"/>
      <c r="AE224" s="39"/>
    </row>
    <row r="225" spans="1:32" x14ac:dyDescent="0.25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64"/>
      <c r="T225" s="5"/>
      <c r="U225" s="5"/>
      <c r="V225" s="5"/>
      <c r="W225" s="5"/>
      <c r="X225" s="5"/>
      <c r="Y225" s="5"/>
      <c r="Z225" s="5"/>
      <c r="AA225" s="39"/>
      <c r="AB225" s="39"/>
      <c r="AC225" s="39"/>
      <c r="AD225" s="39"/>
      <c r="AE225" s="39"/>
    </row>
    <row r="226" spans="1:32" x14ac:dyDescent="0.25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64"/>
      <c r="T226" s="5"/>
      <c r="U226" s="5"/>
      <c r="V226" s="5"/>
      <c r="W226" s="5"/>
      <c r="X226" s="5"/>
      <c r="Y226" s="5"/>
      <c r="Z226" s="5"/>
      <c r="AA226" s="39"/>
      <c r="AB226" s="39"/>
      <c r="AC226" s="39"/>
      <c r="AD226" s="39"/>
      <c r="AE226" s="39"/>
    </row>
    <row r="227" spans="1:32" x14ac:dyDescent="0.25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64"/>
      <c r="T227" s="5"/>
      <c r="U227" s="5"/>
      <c r="V227" s="5"/>
      <c r="W227" s="5"/>
      <c r="X227" s="5"/>
      <c r="Y227" s="5"/>
      <c r="Z227" s="5"/>
      <c r="AA227" s="39"/>
      <c r="AB227" s="39"/>
      <c r="AC227" s="39"/>
      <c r="AD227" s="39"/>
      <c r="AE227" s="39"/>
    </row>
    <row r="228" spans="1:32" x14ac:dyDescent="0.25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64"/>
      <c r="T228" s="5"/>
      <c r="U228" s="5"/>
      <c r="V228" s="5"/>
      <c r="W228" s="5"/>
      <c r="X228" s="5"/>
      <c r="Y228" s="5"/>
      <c r="Z228" s="5"/>
      <c r="AA228" s="39"/>
      <c r="AB228" s="39"/>
      <c r="AC228" s="39"/>
      <c r="AD228" s="39"/>
      <c r="AE228" s="39"/>
    </row>
    <row r="229" spans="1:32" x14ac:dyDescent="0.25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64"/>
      <c r="T229" s="5"/>
      <c r="U229" s="5"/>
      <c r="V229" s="5"/>
      <c r="W229" s="5"/>
      <c r="X229" s="5"/>
      <c r="Y229" s="5"/>
      <c r="Z229" s="5"/>
      <c r="AA229" s="39"/>
      <c r="AB229" s="39"/>
      <c r="AC229" s="39"/>
      <c r="AD229" s="39"/>
      <c r="AE229" s="39"/>
    </row>
    <row r="230" spans="1:32" x14ac:dyDescent="0.25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64"/>
      <c r="T230" s="5"/>
      <c r="U230" s="5"/>
      <c r="V230" s="5"/>
      <c r="W230" s="5"/>
      <c r="X230" s="5"/>
      <c r="Y230" s="5"/>
      <c r="Z230" s="5"/>
      <c r="AA230" s="39"/>
      <c r="AB230" s="39"/>
      <c r="AC230" s="39"/>
      <c r="AD230" s="39"/>
      <c r="AE230" s="39"/>
    </row>
    <row r="231" spans="1:32" x14ac:dyDescent="0.2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64"/>
      <c r="T231" s="5"/>
      <c r="U231" s="5"/>
      <c r="V231" s="5"/>
      <c r="W231" s="5"/>
      <c r="X231" s="5"/>
      <c r="Y231" s="5"/>
      <c r="Z231" s="5"/>
      <c r="AA231" s="39"/>
      <c r="AB231" s="39"/>
      <c r="AC231" s="39"/>
      <c r="AD231" s="39"/>
      <c r="AE231" s="39"/>
    </row>
    <row r="232" spans="1:32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66"/>
      <c r="T232" s="10"/>
      <c r="U232" s="10"/>
      <c r="V232" s="10"/>
      <c r="W232" s="10"/>
      <c r="X232" s="10"/>
      <c r="Y232" s="10"/>
      <c r="Z232" s="10"/>
    </row>
    <row r="233" spans="1:32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66"/>
      <c r="T233" s="10"/>
      <c r="U233" s="10"/>
      <c r="V233" s="10"/>
      <c r="W233" s="10"/>
      <c r="X233" s="10"/>
      <c r="Y233" s="10"/>
      <c r="Z233" s="10"/>
    </row>
    <row r="234" spans="1:32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66"/>
      <c r="T234" s="10"/>
      <c r="U234" s="10"/>
      <c r="V234" s="10"/>
      <c r="W234" s="10"/>
      <c r="X234" s="10"/>
      <c r="Y234" s="10"/>
      <c r="Z234" s="10"/>
    </row>
    <row r="235" spans="1:32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66"/>
      <c r="T235" s="10"/>
      <c r="U235" s="10"/>
      <c r="V235" s="10"/>
      <c r="W235" s="10"/>
      <c r="X235" s="10"/>
      <c r="Y235" s="10"/>
      <c r="Z235" s="10"/>
    </row>
    <row r="236" spans="1:32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66"/>
      <c r="T236" s="10"/>
      <c r="U236" s="10"/>
      <c r="V236" s="10"/>
      <c r="W236" s="10"/>
      <c r="X236" s="10"/>
      <c r="Y236" s="10"/>
      <c r="Z236" s="10"/>
    </row>
    <row r="237" spans="1:32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66"/>
      <c r="T237" s="10"/>
      <c r="U237" s="10"/>
      <c r="V237" s="10"/>
      <c r="W237" s="10"/>
      <c r="X237" s="10"/>
      <c r="Y237" s="10"/>
      <c r="Z237" s="10"/>
    </row>
    <row r="238" spans="1:32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66"/>
      <c r="T238" s="10"/>
      <c r="U238" s="10"/>
      <c r="V238" s="10"/>
      <c r="W238" s="10"/>
      <c r="X238" s="10"/>
      <c r="Y238" s="10"/>
      <c r="Z238" s="10"/>
    </row>
    <row r="239" spans="1:32" s="40" customFormat="1" x14ac:dyDescent="0.25">
      <c r="A239" s="1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66"/>
      <c r="T239" s="10"/>
      <c r="U239" s="10"/>
      <c r="V239" s="10"/>
      <c r="W239" s="10"/>
      <c r="X239" s="10"/>
      <c r="Y239" s="10"/>
      <c r="Z239" s="10"/>
      <c r="AF239"/>
    </row>
    <row r="240" spans="1:32" s="40" customFormat="1" x14ac:dyDescent="0.25">
      <c r="A240" s="1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66"/>
      <c r="T240" s="10"/>
      <c r="U240" s="10"/>
      <c r="V240" s="10"/>
      <c r="W240" s="10"/>
      <c r="X240" s="10"/>
      <c r="Y240" s="10"/>
      <c r="Z240" s="10"/>
      <c r="AF240"/>
    </row>
    <row r="241" spans="1:32" s="40" customFormat="1" x14ac:dyDescent="0.25">
      <c r="A241" s="1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66"/>
      <c r="T241" s="10"/>
      <c r="U241" s="10"/>
      <c r="V241" s="10"/>
      <c r="W241" s="10"/>
      <c r="X241" s="10"/>
      <c r="Y241" s="10"/>
      <c r="Z241" s="10"/>
      <c r="AF241"/>
    </row>
    <row r="242" spans="1:32" s="40" customFormat="1" x14ac:dyDescent="0.25">
      <c r="A242" s="1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66"/>
      <c r="T242" s="10"/>
      <c r="U242" s="10"/>
      <c r="V242" s="10"/>
      <c r="W242" s="10"/>
      <c r="X242" s="10"/>
      <c r="Y242" s="10"/>
      <c r="Z242" s="10"/>
      <c r="AF242"/>
    </row>
    <row r="243" spans="1:32" s="40" customFormat="1" x14ac:dyDescent="0.25">
      <c r="A243" s="1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66"/>
      <c r="T243" s="10"/>
      <c r="U243" s="10"/>
      <c r="V243" s="10"/>
      <c r="W243" s="10"/>
      <c r="X243" s="10"/>
      <c r="Y243" s="10"/>
      <c r="Z243" s="10"/>
      <c r="AF243"/>
    </row>
    <row r="244" spans="1:32" s="40" customFormat="1" x14ac:dyDescent="0.25">
      <c r="A244" s="1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66"/>
      <c r="T244" s="10"/>
      <c r="U244" s="10"/>
      <c r="V244" s="10"/>
      <c r="W244" s="10"/>
      <c r="X244" s="10"/>
      <c r="Y244" s="10"/>
      <c r="Z244" s="10"/>
      <c r="AF244"/>
    </row>
    <row r="245" spans="1:32" s="40" customFormat="1" x14ac:dyDescent="0.25">
      <c r="A245" s="1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66"/>
      <c r="T245" s="10"/>
      <c r="U245" s="10"/>
      <c r="V245" s="10"/>
      <c r="W245" s="10"/>
      <c r="X245" s="10"/>
      <c r="Y245" s="10"/>
      <c r="Z245" s="10"/>
      <c r="AF245"/>
    </row>
    <row r="246" spans="1:32" s="40" customFormat="1" x14ac:dyDescent="0.25">
      <c r="A246" s="1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66"/>
      <c r="T246" s="10"/>
      <c r="U246" s="10"/>
      <c r="V246" s="10"/>
      <c r="W246" s="10"/>
      <c r="X246" s="10"/>
      <c r="Y246" s="10"/>
      <c r="Z246" s="10"/>
      <c r="AF246"/>
    </row>
    <row r="247" spans="1:32" s="40" customFormat="1" x14ac:dyDescent="0.25">
      <c r="A247" s="1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66"/>
      <c r="T247" s="10"/>
      <c r="U247" s="10"/>
      <c r="V247" s="10"/>
      <c r="W247" s="10"/>
      <c r="X247" s="10"/>
      <c r="Y247" s="10"/>
      <c r="Z247" s="10"/>
      <c r="AF247"/>
    </row>
    <row r="248" spans="1:32" s="40" customFormat="1" x14ac:dyDescent="0.25">
      <c r="A248" s="1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66"/>
      <c r="T248" s="10"/>
      <c r="U248" s="10"/>
      <c r="V248" s="10"/>
      <c r="W248" s="10"/>
      <c r="X248" s="10"/>
      <c r="Y248" s="10"/>
      <c r="Z248" s="10"/>
      <c r="AF248"/>
    </row>
    <row r="249" spans="1:32" s="40" customFormat="1" x14ac:dyDescent="0.25">
      <c r="A249" s="1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66"/>
      <c r="T249" s="10"/>
      <c r="U249" s="10"/>
      <c r="V249" s="10"/>
      <c r="W249" s="10"/>
      <c r="X249" s="10"/>
      <c r="Y249" s="10"/>
      <c r="Z249" s="10"/>
      <c r="AF249"/>
    </row>
    <row r="250" spans="1:32" s="40" customFormat="1" x14ac:dyDescent="0.25">
      <c r="A250" s="1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66"/>
      <c r="T250" s="10"/>
      <c r="U250" s="10"/>
      <c r="V250" s="10"/>
      <c r="W250" s="10"/>
      <c r="X250" s="10"/>
      <c r="Y250" s="10"/>
      <c r="Z250" s="10"/>
      <c r="AF250"/>
    </row>
    <row r="251" spans="1:32" s="40" customFormat="1" x14ac:dyDescent="0.25">
      <c r="A251" s="1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66"/>
      <c r="T251" s="10"/>
      <c r="U251" s="10"/>
      <c r="V251" s="10"/>
      <c r="W251" s="10"/>
      <c r="X251" s="10"/>
      <c r="Y251" s="10"/>
      <c r="Z251" s="10"/>
      <c r="AF251"/>
    </row>
    <row r="252" spans="1:32" s="40" customFormat="1" x14ac:dyDescent="0.25">
      <c r="A252" s="1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66"/>
      <c r="T252" s="10"/>
      <c r="U252" s="10"/>
      <c r="V252" s="10"/>
      <c r="W252" s="10"/>
      <c r="X252" s="10"/>
      <c r="Y252" s="10"/>
      <c r="Z252" s="10"/>
      <c r="AF252"/>
    </row>
    <row r="253" spans="1:32" s="40" customFormat="1" x14ac:dyDescent="0.25">
      <c r="A253" s="1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66"/>
      <c r="T253" s="10"/>
      <c r="U253" s="10"/>
      <c r="V253" s="10"/>
      <c r="W253" s="10"/>
      <c r="X253" s="10"/>
      <c r="Y253" s="10"/>
      <c r="Z253" s="10"/>
      <c r="AF253"/>
    </row>
    <row r="254" spans="1:32" s="40" customFormat="1" x14ac:dyDescent="0.25">
      <c r="A254" s="1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66"/>
      <c r="T254" s="10"/>
      <c r="U254" s="10"/>
      <c r="V254" s="10"/>
      <c r="W254" s="10"/>
      <c r="X254" s="10"/>
      <c r="Y254" s="10"/>
      <c r="Z254" s="10"/>
      <c r="AF254"/>
    </row>
    <row r="255" spans="1:32" s="40" customFormat="1" x14ac:dyDescent="0.25">
      <c r="A255" s="1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66"/>
      <c r="T255" s="10"/>
      <c r="U255" s="10"/>
      <c r="V255" s="10"/>
      <c r="W255" s="10"/>
      <c r="X255" s="10"/>
      <c r="Y255" s="10"/>
      <c r="Z255" s="10"/>
      <c r="AF255"/>
    </row>
    <row r="256" spans="1:32" s="40" customFormat="1" x14ac:dyDescent="0.25">
      <c r="A256" s="1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66"/>
      <c r="T256" s="10"/>
      <c r="U256" s="10"/>
      <c r="V256" s="10"/>
      <c r="W256" s="10"/>
      <c r="X256" s="10"/>
      <c r="Y256" s="10"/>
      <c r="Z256" s="10"/>
      <c r="AF256"/>
    </row>
    <row r="257" spans="1:32" s="40" customFormat="1" x14ac:dyDescent="0.25">
      <c r="A257" s="1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66"/>
      <c r="T257" s="10"/>
      <c r="U257" s="10"/>
      <c r="V257" s="10"/>
      <c r="W257" s="10"/>
      <c r="X257" s="10"/>
      <c r="Y257" s="10"/>
      <c r="Z257" s="10"/>
      <c r="AF257"/>
    </row>
    <row r="258" spans="1:32" s="40" customFormat="1" x14ac:dyDescent="0.25">
      <c r="A258" s="1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66"/>
      <c r="T258" s="10"/>
      <c r="U258" s="10"/>
      <c r="V258" s="10"/>
      <c r="W258" s="10"/>
      <c r="X258" s="10"/>
      <c r="Y258" s="10"/>
      <c r="Z258" s="10"/>
      <c r="AF258"/>
    </row>
    <row r="259" spans="1:32" s="40" customFormat="1" x14ac:dyDescent="0.25">
      <c r="A259" s="1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66"/>
      <c r="T259" s="10"/>
      <c r="U259" s="10"/>
      <c r="V259" s="10"/>
      <c r="W259" s="10"/>
      <c r="X259" s="10"/>
      <c r="Y259" s="10"/>
      <c r="Z259" s="10"/>
      <c r="AF259"/>
    </row>
    <row r="260" spans="1:32" s="40" customFormat="1" x14ac:dyDescent="0.25">
      <c r="A260" s="1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66"/>
      <c r="T260" s="10"/>
      <c r="U260" s="10"/>
      <c r="V260" s="10"/>
      <c r="W260" s="10"/>
      <c r="X260" s="10"/>
      <c r="Y260" s="10"/>
      <c r="Z260" s="10"/>
      <c r="AF260"/>
    </row>
    <row r="261" spans="1:32" s="40" customFormat="1" x14ac:dyDescent="0.25">
      <c r="A261" s="1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66"/>
      <c r="T261" s="10"/>
      <c r="U261" s="10"/>
      <c r="V261" s="10"/>
      <c r="W261" s="10"/>
      <c r="X261" s="10"/>
      <c r="Y261" s="10"/>
      <c r="Z261" s="10"/>
      <c r="AF261"/>
    </row>
    <row r="262" spans="1:32" s="40" customFormat="1" x14ac:dyDescent="0.25">
      <c r="A262" s="1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66"/>
      <c r="T262" s="10"/>
      <c r="U262" s="10"/>
      <c r="V262" s="10"/>
      <c r="W262" s="10"/>
      <c r="X262" s="10"/>
      <c r="Y262" s="10"/>
      <c r="Z262" s="10"/>
      <c r="AF262"/>
    </row>
    <row r="263" spans="1:32" s="40" customFormat="1" x14ac:dyDescent="0.25">
      <c r="A263" s="1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66"/>
      <c r="T263" s="10"/>
      <c r="U263" s="10"/>
      <c r="V263" s="10"/>
      <c r="W263" s="10"/>
      <c r="X263" s="10"/>
      <c r="Y263" s="10"/>
      <c r="Z263" s="10"/>
      <c r="AF263"/>
    </row>
    <row r="264" spans="1:32" s="40" customFormat="1" x14ac:dyDescent="0.25">
      <c r="A264" s="1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66"/>
      <c r="T264" s="10"/>
      <c r="U264" s="10"/>
      <c r="V264" s="10"/>
      <c r="W264" s="10"/>
      <c r="X264" s="10"/>
      <c r="Y264" s="10"/>
      <c r="Z264" s="10"/>
      <c r="AF264"/>
    </row>
    <row r="265" spans="1:32" s="40" customFormat="1" x14ac:dyDescent="0.25">
      <c r="A265" s="1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66"/>
      <c r="T265" s="10"/>
      <c r="U265" s="10"/>
      <c r="V265" s="10"/>
      <c r="W265" s="10"/>
      <c r="X265" s="10"/>
      <c r="Y265" s="10"/>
      <c r="Z265" s="10"/>
      <c r="AF265"/>
    </row>
    <row r="266" spans="1:32" s="40" customFormat="1" x14ac:dyDescent="0.25">
      <c r="A266" s="1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66"/>
      <c r="T266" s="10"/>
      <c r="U266" s="10"/>
      <c r="V266" s="10"/>
      <c r="W266" s="10"/>
      <c r="X266" s="10"/>
      <c r="Y266" s="10"/>
      <c r="Z266" s="10"/>
      <c r="AF266"/>
    </row>
    <row r="267" spans="1:32" s="40" customFormat="1" x14ac:dyDescent="0.25">
      <c r="A267" s="1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66"/>
      <c r="T267" s="10"/>
      <c r="U267" s="10"/>
      <c r="V267" s="10"/>
      <c r="W267" s="10"/>
      <c r="X267" s="10"/>
      <c r="Y267" s="10"/>
      <c r="Z267" s="10"/>
      <c r="AF267"/>
    </row>
    <row r="268" spans="1:32" s="40" customFormat="1" x14ac:dyDescent="0.25">
      <c r="A268" s="1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66"/>
      <c r="T268" s="10"/>
      <c r="U268" s="10"/>
      <c r="V268" s="10"/>
      <c r="W268" s="10"/>
      <c r="X268" s="10"/>
      <c r="Y268" s="10"/>
      <c r="Z268" s="10"/>
      <c r="AF268"/>
    </row>
  </sheetData>
  <pageMargins left="0.511811024" right="0.511811024" top="0.78740157499999996" bottom="0.78740157499999996" header="0.31496062000000002" footer="0.31496062000000002"/>
  <pageSetup paperSize="1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ARTIGO</vt:lpstr>
      <vt:lpstr>78 ONGS</vt:lpstr>
      <vt:lpstr>72 ONGs trab. voluntário</vt:lpstr>
      <vt:lpstr>72 ONGs</vt:lpstr>
      <vt:lpstr>72 com 2017</vt:lpstr>
      <vt:lpstr>47 trabalho voluntário</vt:lpstr>
      <vt:lpstr>32receita x trabalho voluntário</vt:lpstr>
      <vt:lpstr>26 com e sem restrição</vt:lpstr>
      <vt:lpstr>66 c 2017 ativo permanente</vt:lpstr>
      <vt:lpstr>22 receita x com-sem restrição</vt:lpstr>
      <vt:lpstr>gráfico</vt:lpstr>
      <vt:lpstr>LNREC</vt:lpstr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2022-09-22T04:56:28Z</dcterms:created>
  <dcterms:modified xsi:type="dcterms:W3CDTF">2022-09-22T04:57:21Z</dcterms:modified>
</cp:coreProperties>
</file>